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\Budget Worksheets (1923 to Unprotect)\2016\"/>
    </mc:Choice>
  </mc:AlternateContent>
  <bookViews>
    <workbookView xWindow="360" yWindow="120" windowWidth="11340" windowHeight="6285"/>
  </bookViews>
  <sheets>
    <sheet name="INSTRUCTIONS" sheetId="6" r:id="rId1"/>
    <sheet name="Ely Summer" sheetId="1" r:id="rId2"/>
    <sheet name="Atikokan Summer" sheetId="2" r:id="rId3"/>
    <sheet name="Bissett Summer" sheetId="4" r:id="rId4"/>
    <sheet name="OKPIK(Winter)" sheetId="5" r:id="rId5"/>
  </sheets>
  <definedNames>
    <definedName name="_xlnm.Print_Area" localSheetId="2">'Atikokan Summer'!$A$1:$K$48</definedName>
  </definedNames>
  <calcPr calcId="152511"/>
</workbook>
</file>

<file path=xl/calcChain.xml><?xml version="1.0" encoding="utf-8"?>
<calcChain xmlns="http://schemas.openxmlformats.org/spreadsheetml/2006/main">
  <c r="C8" i="4" l="1"/>
  <c r="D7" i="4"/>
  <c r="C7" i="1" l="1"/>
  <c r="I23" i="1"/>
  <c r="H23" i="1"/>
  <c r="I16" i="1"/>
  <c r="H16" i="1"/>
  <c r="I35" i="1"/>
  <c r="I33" i="1"/>
  <c r="I30" i="1"/>
  <c r="I29" i="1"/>
  <c r="I32" i="1"/>
  <c r="H32" i="1"/>
  <c r="H35" i="1"/>
  <c r="H33" i="1"/>
  <c r="H30" i="1"/>
  <c r="H29" i="1"/>
  <c r="I24" i="1"/>
  <c r="H24" i="1"/>
  <c r="I26" i="1"/>
  <c r="H26" i="1"/>
  <c r="I25" i="1"/>
  <c r="H25" i="1"/>
  <c r="H15" i="1"/>
  <c r="H10" i="1"/>
  <c r="H9" i="1"/>
  <c r="I15" i="1"/>
  <c r="I10" i="1"/>
  <c r="I9" i="1"/>
  <c r="I7" i="1"/>
  <c r="H7" i="1"/>
  <c r="I41" i="2"/>
  <c r="H41" i="2"/>
  <c r="I39" i="2"/>
  <c r="I38" i="2"/>
  <c r="I35" i="2"/>
  <c r="I34" i="2"/>
  <c r="H39" i="2"/>
  <c r="H38" i="2"/>
  <c r="H35" i="2"/>
  <c r="H34" i="2"/>
  <c r="H31" i="2"/>
  <c r="I31" i="2"/>
  <c r="I30" i="2"/>
  <c r="H30" i="2"/>
  <c r="I29" i="2"/>
  <c r="H29" i="2"/>
  <c r="I28" i="2"/>
  <c r="H28" i="2"/>
  <c r="I19" i="2"/>
  <c r="H19" i="2"/>
  <c r="I18" i="2"/>
  <c r="H18" i="2"/>
  <c r="I17" i="2"/>
  <c r="H17" i="2"/>
  <c r="I12" i="2"/>
  <c r="H12" i="2"/>
  <c r="I11" i="2"/>
  <c r="H11" i="2"/>
  <c r="H8" i="2"/>
  <c r="I8" i="2"/>
  <c r="I7" i="2"/>
  <c r="H7" i="2"/>
  <c r="G18" i="4"/>
  <c r="H8" i="4"/>
  <c r="H7" i="4"/>
  <c r="H18" i="4"/>
  <c r="F18" i="4"/>
  <c r="H17" i="4"/>
  <c r="G17" i="4"/>
  <c r="E17" i="4"/>
  <c r="H12" i="4"/>
  <c r="G12" i="4"/>
  <c r="H11" i="4"/>
  <c r="G11" i="4"/>
  <c r="G8" i="4"/>
  <c r="G7" i="4"/>
  <c r="I27" i="1" l="1"/>
  <c r="I38" i="1" s="1"/>
  <c r="H27" i="1"/>
  <c r="H38" i="1" s="1"/>
  <c r="I32" i="2"/>
  <c r="H32" i="2"/>
  <c r="H7" i="5"/>
  <c r="G7" i="5"/>
  <c r="E7" i="5"/>
  <c r="D7" i="5"/>
  <c r="F8" i="4"/>
  <c r="F7" i="4"/>
  <c r="E8" i="4"/>
  <c r="E7" i="4"/>
  <c r="D8" i="4"/>
  <c r="C7" i="4"/>
  <c r="G28" i="2"/>
  <c r="F28" i="2"/>
  <c r="E28" i="2"/>
  <c r="D28" i="2"/>
  <c r="C28" i="2"/>
  <c r="G8" i="2"/>
  <c r="F8" i="2"/>
  <c r="E8" i="2"/>
  <c r="D8" i="2"/>
  <c r="C8" i="2"/>
  <c r="G7" i="2"/>
  <c r="F7" i="2"/>
  <c r="E7" i="2"/>
  <c r="D7" i="2"/>
  <c r="C7" i="2"/>
  <c r="G23" i="1"/>
  <c r="F23" i="1"/>
  <c r="E23" i="1"/>
  <c r="D23" i="1"/>
  <c r="C23" i="1"/>
  <c r="G7" i="1"/>
  <c r="F7" i="1"/>
  <c r="E7" i="1"/>
  <c r="D7" i="1"/>
  <c r="H13" i="5"/>
  <c r="G13" i="5"/>
  <c r="E5" i="5"/>
  <c r="F13" i="5" s="1"/>
  <c r="C9" i="2"/>
  <c r="F17" i="4"/>
  <c r="D17" i="4"/>
  <c r="C17" i="4"/>
  <c r="F12" i="4"/>
  <c r="E12" i="4"/>
  <c r="D12" i="4"/>
  <c r="C12" i="4"/>
  <c r="F11" i="4"/>
  <c r="E11" i="4"/>
  <c r="D11" i="4"/>
  <c r="C11" i="4"/>
  <c r="G18" i="2"/>
  <c r="F18" i="2"/>
  <c r="E18" i="2"/>
  <c r="D18" i="2"/>
  <c r="C18" i="2"/>
  <c r="G38" i="2"/>
  <c r="F38" i="2"/>
  <c r="E38" i="2"/>
  <c r="D38" i="2"/>
  <c r="C38" i="2"/>
  <c r="G35" i="2"/>
  <c r="F35" i="2"/>
  <c r="E35" i="2"/>
  <c r="D35" i="2"/>
  <c r="C35" i="2"/>
  <c r="G34" i="2"/>
  <c r="F34" i="2"/>
  <c r="E34" i="2"/>
  <c r="D34" i="2"/>
  <c r="C34" i="2"/>
  <c r="G12" i="2"/>
  <c r="F12" i="2"/>
  <c r="E12" i="2"/>
  <c r="D12" i="2"/>
  <c r="C12" i="2"/>
  <c r="G11" i="2"/>
  <c r="F11" i="2"/>
  <c r="E11" i="2"/>
  <c r="D11" i="2"/>
  <c r="C11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17" i="2"/>
  <c r="F17" i="2"/>
  <c r="E17" i="2"/>
  <c r="D17" i="2"/>
  <c r="C17" i="2"/>
  <c r="C50" i="1"/>
  <c r="C47" i="1"/>
  <c r="C46" i="1"/>
  <c r="C64" i="1"/>
  <c r="G33" i="1"/>
  <c r="F33" i="1"/>
  <c r="E33" i="1"/>
  <c r="D33" i="1"/>
  <c r="C33" i="1"/>
  <c r="C61" i="1"/>
  <c r="C60" i="1"/>
  <c r="G30" i="1"/>
  <c r="F30" i="1"/>
  <c r="E30" i="1"/>
  <c r="D30" i="1"/>
  <c r="C30" i="1"/>
  <c r="G29" i="1"/>
  <c r="F29" i="1"/>
  <c r="E29" i="1"/>
  <c r="D29" i="1"/>
  <c r="C29" i="1"/>
  <c r="G10" i="1"/>
  <c r="F10" i="1"/>
  <c r="E10" i="1"/>
  <c r="D10" i="1"/>
  <c r="C10" i="1"/>
  <c r="G9" i="1"/>
  <c r="F9" i="1"/>
  <c r="E9" i="1"/>
  <c r="D9" i="1"/>
  <c r="C9" i="1"/>
  <c r="G15" i="1"/>
  <c r="F15" i="1"/>
  <c r="E15" i="1"/>
  <c r="D15" i="1"/>
  <c r="C15" i="1"/>
  <c r="G39" i="2"/>
  <c r="F39" i="2"/>
  <c r="E39" i="2"/>
  <c r="D39" i="2"/>
  <c r="C39" i="2"/>
  <c r="E4" i="4"/>
  <c r="E18" i="4"/>
  <c r="D18" i="4"/>
  <c r="C18" i="4"/>
  <c r="G41" i="2"/>
  <c r="F41" i="2"/>
  <c r="E41" i="2"/>
  <c r="D41" i="2"/>
  <c r="C41" i="2"/>
  <c r="G19" i="2"/>
  <c r="F19" i="2"/>
  <c r="E19" i="2"/>
  <c r="D19" i="2"/>
  <c r="C19" i="2"/>
  <c r="G16" i="1"/>
  <c r="F16" i="1"/>
  <c r="E16" i="1"/>
  <c r="D16" i="1"/>
  <c r="C16" i="1"/>
  <c r="G35" i="1"/>
  <c r="F35" i="1"/>
  <c r="E35" i="1"/>
  <c r="D35" i="1"/>
  <c r="C35" i="1"/>
  <c r="F4" i="2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F4" i="1"/>
  <c r="G14" i="1" s="1"/>
  <c r="E9" i="4"/>
  <c r="F32" i="1" l="1"/>
  <c r="D32" i="1"/>
  <c r="I14" i="1"/>
  <c r="I19" i="1" s="1"/>
  <c r="H14" i="1"/>
  <c r="H19" i="1" s="1"/>
  <c r="I37" i="2"/>
  <c r="I44" i="2" s="1"/>
  <c r="H37" i="2"/>
  <c r="H44" i="2" s="1"/>
  <c r="F16" i="2"/>
  <c r="F23" i="2" s="1"/>
  <c r="I16" i="2"/>
  <c r="H16" i="2"/>
  <c r="H9" i="4"/>
  <c r="G16" i="4"/>
  <c r="G9" i="4"/>
  <c r="G21" i="4" s="1"/>
  <c r="F9" i="4"/>
  <c r="H16" i="4"/>
  <c r="B7" i="5"/>
  <c r="F7" i="5"/>
  <c r="C7" i="5"/>
  <c r="C16" i="2"/>
  <c r="C22" i="2" s="1"/>
  <c r="D14" i="1"/>
  <c r="D19" i="1" s="1"/>
  <c r="C32" i="1"/>
  <c r="G27" i="1"/>
  <c r="E32" i="2"/>
  <c r="D32" i="2"/>
  <c r="C9" i="4"/>
  <c r="F37" i="2"/>
  <c r="C14" i="1"/>
  <c r="C19" i="1" s="1"/>
  <c r="G16" i="2"/>
  <c r="G22" i="2" s="1"/>
  <c r="C16" i="4"/>
  <c r="G19" i="1"/>
  <c r="D16" i="4"/>
  <c r="E32" i="1"/>
  <c r="F14" i="1"/>
  <c r="F19" i="1" s="1"/>
  <c r="C32" i="2"/>
  <c r="F32" i="2"/>
  <c r="C13" i="5"/>
  <c r="E13" i="5"/>
  <c r="B13" i="5"/>
  <c r="D13" i="5"/>
  <c r="D9" i="4"/>
  <c r="E16" i="4"/>
  <c r="E22" i="4" s="1"/>
  <c r="F16" i="4"/>
  <c r="D37" i="2"/>
  <c r="E16" i="2"/>
  <c r="E23" i="2" s="1"/>
  <c r="C37" i="2"/>
  <c r="G37" i="2"/>
  <c r="E37" i="2"/>
  <c r="D16" i="2"/>
  <c r="D23" i="2" s="1"/>
  <c r="D27" i="1"/>
  <c r="D38" i="1" s="1"/>
  <c r="F27" i="1"/>
  <c r="F38" i="1" s="1"/>
  <c r="C58" i="1"/>
  <c r="C62" i="1"/>
  <c r="E14" i="1"/>
  <c r="E19" i="1" s="1"/>
  <c r="G32" i="1"/>
  <c r="C48" i="1"/>
  <c r="C44" i="1"/>
  <c r="E27" i="1"/>
  <c r="C27" i="1"/>
  <c r="G32" i="2"/>
  <c r="G44" i="2" s="1"/>
  <c r="E38" i="1" l="1"/>
  <c r="C54" i="1"/>
  <c r="G38" i="1"/>
  <c r="F22" i="2"/>
  <c r="E22" i="2"/>
  <c r="F44" i="2"/>
  <c r="G23" i="2"/>
  <c r="H22" i="2"/>
  <c r="H23" i="2"/>
  <c r="C44" i="2"/>
  <c r="I22" i="2"/>
  <c r="I23" i="2"/>
  <c r="D21" i="4"/>
  <c r="H22" i="4"/>
  <c r="H21" i="4"/>
  <c r="G22" i="4"/>
  <c r="E21" i="4"/>
  <c r="F22" i="4"/>
  <c r="E44" i="2"/>
  <c r="D22" i="4"/>
  <c r="C22" i="4"/>
  <c r="C21" i="4"/>
  <c r="D22" i="2"/>
  <c r="C68" i="1"/>
  <c r="F21" i="4"/>
  <c r="C23" i="2"/>
  <c r="C24" i="2"/>
  <c r="C38" i="1"/>
  <c r="D44" i="2"/>
</calcChain>
</file>

<file path=xl/sharedStrings.xml><?xml version="1.0" encoding="utf-8"?>
<sst xmlns="http://schemas.openxmlformats.org/spreadsheetml/2006/main" count="221" uniqueCount="97">
  <si>
    <t>QUETICO PROVINCIAL PARK</t>
  </si>
  <si>
    <t>Photos (Optional)</t>
  </si>
  <si>
    <t>Transportation to Northern Tier</t>
  </si>
  <si>
    <t>Lodging While Traveling to Northern Tier</t>
  </si>
  <si>
    <t>Meals enroute to Northern Tier</t>
  </si>
  <si>
    <t># People</t>
  </si>
  <si>
    <t>TOTAL</t>
  </si>
  <si>
    <t>Other (side trips, museums, etc.)</t>
  </si>
  <si>
    <t>Lodging/Camping While Traveling to Northern Tier</t>
  </si>
  <si>
    <t>Youth</t>
  </si>
  <si>
    <t>Adult</t>
  </si>
  <si>
    <t>Total</t>
  </si>
  <si>
    <t>SUB-TOTAL</t>
  </si>
  <si>
    <t>BOUNDARY WATERS CANOE AREA WILDERNESS</t>
  </si>
  <si>
    <t># Crews</t>
  </si>
  <si>
    <t>C L Sommers Base (To estimate approximate costs)</t>
  </si>
  <si>
    <r>
      <t>Optional Lightweight Canoes (</t>
    </r>
    <r>
      <rPr>
        <b/>
        <sz val="8"/>
        <rFont val="Arial"/>
        <family val="2"/>
      </rPr>
      <t>$30.00</t>
    </r>
    <r>
      <rPr>
        <sz val="8"/>
        <rFont val="Arial"/>
        <family val="2"/>
      </rPr>
      <t xml:space="preserve"> per canoe per day)</t>
    </r>
  </si>
  <si>
    <t>FOREST CORPS</t>
  </si>
  <si>
    <t>LONE VOYAGUER CREW</t>
  </si>
  <si>
    <r>
      <t xml:space="preserve">Adult Camping (Quet.Park Fee)  </t>
    </r>
    <r>
      <rPr>
        <b/>
        <sz val="8"/>
        <rFont val="Arial"/>
        <family val="2"/>
      </rPr>
      <t>$21.50</t>
    </r>
    <r>
      <rPr>
        <sz val="8"/>
        <rFont val="Arial"/>
        <family val="2"/>
      </rPr>
      <t xml:space="preserve"> Can/night </t>
    </r>
    <r>
      <rPr>
        <b/>
        <sz val="8"/>
        <rFont val="Arial"/>
        <family val="2"/>
      </rPr>
      <t/>
    </r>
  </si>
  <si>
    <r>
      <t xml:space="preserve">Interpreter Camping (Quet.Park) </t>
    </r>
    <r>
      <rPr>
        <b/>
        <sz val="8"/>
        <rFont val="Arial"/>
        <family val="2"/>
      </rPr>
      <t>$21.50</t>
    </r>
    <r>
      <rPr>
        <sz val="8"/>
        <rFont val="Arial"/>
        <family val="2"/>
      </rPr>
      <t xml:space="preserve"> Can/night </t>
    </r>
    <r>
      <rPr>
        <b/>
        <sz val="8"/>
        <rFont val="Arial"/>
        <family val="2"/>
      </rPr>
      <t/>
    </r>
  </si>
  <si>
    <r>
      <t xml:space="preserve">Youth Camping (Quet. Park) </t>
    </r>
    <r>
      <rPr>
        <b/>
        <sz val="8"/>
        <rFont val="Arial"/>
        <family val="2"/>
      </rPr>
      <t>$8.50</t>
    </r>
    <r>
      <rPr>
        <sz val="8"/>
        <rFont val="Arial"/>
        <family val="2"/>
      </rPr>
      <t xml:space="preserve"> Can/night </t>
    </r>
  </si>
  <si>
    <t>Exchange Rate</t>
  </si>
  <si>
    <t>Crownlands</t>
  </si>
  <si>
    <t>Atikokan Base (To estimate approximate costs)</t>
  </si>
  <si>
    <t>Bissett Base (To estimate approximate costs)</t>
  </si>
  <si>
    <t>Bissett</t>
  </si>
  <si>
    <r>
      <rPr>
        <sz val="8"/>
        <rFont val="Arial"/>
        <family val="2"/>
      </rPr>
      <t xml:space="preserve">Float Plane: Approx. </t>
    </r>
    <r>
      <rPr>
        <b/>
        <sz val="8"/>
        <rFont val="Arial"/>
        <family val="2"/>
      </rPr>
      <t xml:space="preserve">$250.00 </t>
    </r>
    <r>
      <rPr>
        <sz val="8"/>
        <rFont val="Arial"/>
        <family val="2"/>
      </rPr>
      <t>per person</t>
    </r>
  </si>
  <si>
    <t>Fishing Licenses (ON MNR Fee)</t>
  </si>
  <si>
    <t>Fishing Licenses (MN DNR Fee)</t>
  </si>
  <si>
    <t>Fishing Licenses (MB MNR Fee)</t>
  </si>
  <si>
    <t>Boots ($100 each pair - everyone must wear boots)*</t>
  </si>
  <si>
    <t>*Prices subject to change.</t>
  </si>
  <si>
    <t>Prices listed in US Funds unless otherwise noted.</t>
  </si>
  <si>
    <r>
      <t>Waterproof Maps (</t>
    </r>
    <r>
      <rPr>
        <b/>
        <sz val="8"/>
        <rFont val="Arial"/>
        <family val="2"/>
      </rPr>
      <t>$22.00</t>
    </r>
    <r>
      <rPr>
        <sz val="8"/>
        <rFont val="Arial"/>
        <family val="2"/>
      </rPr>
      <t xml:space="preserve"> each)*</t>
    </r>
  </si>
  <si>
    <r>
      <t>Waterproof Maps (</t>
    </r>
    <r>
      <rPr>
        <b/>
        <sz val="8"/>
        <rFont val="Arial"/>
        <family val="2"/>
      </rPr>
      <t xml:space="preserve">$22.00 </t>
    </r>
    <r>
      <rPr>
        <sz val="8"/>
        <rFont val="Arial"/>
        <family val="2"/>
      </rPr>
      <t>each)*</t>
    </r>
  </si>
  <si>
    <r>
      <t xml:space="preserve">Maps (usually 9 per crew at </t>
    </r>
    <r>
      <rPr>
        <b/>
        <sz val="8"/>
        <rFont val="Arial"/>
        <family val="2"/>
      </rPr>
      <t>$8.50</t>
    </r>
    <r>
      <rPr>
        <sz val="8"/>
        <rFont val="Arial"/>
        <family val="2"/>
      </rPr>
      <t xml:space="preserve"> each)*</t>
    </r>
  </si>
  <si>
    <r>
      <t xml:space="preserve">Maps (usually 9 per crew at </t>
    </r>
    <r>
      <rPr>
        <b/>
        <sz val="8"/>
        <rFont val="Arial"/>
        <family val="2"/>
      </rPr>
      <t>$8.50</t>
    </r>
    <r>
      <rPr>
        <sz val="8"/>
        <rFont val="Arial"/>
        <family val="2"/>
      </rPr>
      <t>)*</t>
    </r>
  </si>
  <si>
    <r>
      <t xml:space="preserve">     5x7    </t>
    </r>
    <r>
      <rPr>
        <b/>
        <sz val="8"/>
        <rFont val="Arial"/>
        <family val="2"/>
      </rPr>
      <t>$5.00</t>
    </r>
    <r>
      <rPr>
        <sz val="8"/>
        <rFont val="Arial"/>
        <family val="2"/>
      </rPr>
      <t xml:space="preserve"> each*</t>
    </r>
  </si>
  <si>
    <r>
      <t xml:space="preserve">     8x10  </t>
    </r>
    <r>
      <rPr>
        <b/>
        <sz val="8"/>
        <rFont val="Arial"/>
        <family val="2"/>
      </rPr>
      <t>$10.00</t>
    </r>
    <r>
      <rPr>
        <sz val="8"/>
        <rFont val="Arial"/>
        <family val="2"/>
      </rPr>
      <t xml:space="preserve"> each*</t>
    </r>
  </si>
  <si>
    <t>Boots (Average $100 each pair - everyone must wear boots)*</t>
  </si>
  <si>
    <r>
      <t xml:space="preserve">Northern Tier Fees: (6 Day Trip) </t>
    </r>
    <r>
      <rPr>
        <b/>
        <sz val="8"/>
        <rFont val="Arial"/>
        <family val="2"/>
      </rPr>
      <t>$600.00</t>
    </r>
  </si>
  <si>
    <r>
      <t xml:space="preserve">Northern Tier Fees: (14 Day Trip) </t>
    </r>
    <r>
      <rPr>
        <b/>
        <sz val="8"/>
        <rFont val="Arial"/>
        <family val="2"/>
      </rPr>
      <t>$650.00</t>
    </r>
  </si>
  <si>
    <r>
      <t>Maps (</t>
    </r>
    <r>
      <rPr>
        <b/>
        <sz val="8"/>
        <rFont val="Arial"/>
        <family val="2"/>
      </rPr>
      <t>$8.50/</t>
    </r>
    <r>
      <rPr>
        <sz val="8"/>
        <rFont val="Arial"/>
        <family val="2"/>
      </rPr>
      <t>each)*</t>
    </r>
  </si>
  <si>
    <r>
      <t xml:space="preserve">Maps (usually 9 per crew at </t>
    </r>
    <r>
      <rPr>
        <b/>
        <sz val="8"/>
        <rFont val="Arial"/>
        <family val="2"/>
      </rPr>
      <t>$14.95</t>
    </r>
    <r>
      <rPr>
        <sz val="8"/>
        <rFont val="Arial"/>
        <family val="2"/>
      </rPr>
      <t xml:space="preserve"> each)*</t>
    </r>
  </si>
  <si>
    <r>
      <t xml:space="preserve">Adult Camping (Quet.Park Fee)  </t>
    </r>
    <r>
      <rPr>
        <b/>
        <sz val="8"/>
        <rFont val="Arial"/>
        <family val="2"/>
      </rPr>
      <t>$15.00</t>
    </r>
    <r>
      <rPr>
        <sz val="8"/>
        <rFont val="Arial"/>
        <family val="2"/>
      </rPr>
      <t xml:space="preserve"> Can/night </t>
    </r>
    <r>
      <rPr>
        <b/>
        <sz val="8"/>
        <rFont val="Arial"/>
        <family val="2"/>
      </rPr>
      <t/>
    </r>
  </si>
  <si>
    <r>
      <t xml:space="preserve">Interpreter Camping (Quet.Park) </t>
    </r>
    <r>
      <rPr>
        <b/>
        <sz val="8"/>
        <rFont val="Arial"/>
        <family val="2"/>
      </rPr>
      <t>$15.00</t>
    </r>
    <r>
      <rPr>
        <sz val="8"/>
        <rFont val="Arial"/>
        <family val="2"/>
      </rPr>
      <t xml:space="preserve"> Can/night </t>
    </r>
    <r>
      <rPr>
        <b/>
        <sz val="8"/>
        <rFont val="Arial"/>
        <family val="2"/>
      </rPr>
      <t/>
    </r>
  </si>
  <si>
    <r>
      <t xml:space="preserve">Youth Camping (Quet. Park) </t>
    </r>
    <r>
      <rPr>
        <b/>
        <sz val="8"/>
        <rFont val="Arial"/>
        <family val="2"/>
      </rPr>
      <t>$6.50</t>
    </r>
    <r>
      <rPr>
        <sz val="8"/>
        <rFont val="Arial"/>
        <family val="2"/>
      </rPr>
      <t xml:space="preserve"> Can/night </t>
    </r>
  </si>
  <si>
    <t>(CD to USD 1/13/2014)</t>
  </si>
  <si>
    <t>(CD to USD 1/13/2014</t>
  </si>
  <si>
    <t>TOTAL Crews 6-8</t>
  </si>
  <si>
    <t>TOTAL Crews 9-11</t>
  </si>
  <si>
    <r>
      <t>Fishing/Kayak Expedition - Northern Tier Fees: (</t>
    </r>
    <r>
      <rPr>
        <b/>
        <sz val="8"/>
        <rFont val="Arial"/>
        <family val="2"/>
      </rPr>
      <t>$4,475.00</t>
    </r>
    <r>
      <rPr>
        <sz val="8"/>
        <rFont val="Arial"/>
        <family val="2"/>
      </rPr>
      <t xml:space="preserve"> per crew)</t>
    </r>
  </si>
  <si>
    <t>N/A</t>
  </si>
  <si>
    <t>TOTAL Quetico Trips</t>
  </si>
  <si>
    <t>TOTAL - BWCAW Trips</t>
  </si>
  <si>
    <t>TOTAL - Quetico Trips</t>
  </si>
  <si>
    <t>TOTAL - Forest Corps</t>
  </si>
  <si>
    <t>TOTAL - Lone Voyageur</t>
  </si>
  <si>
    <t>TOTAL - Crews of 6-8</t>
  </si>
  <si>
    <t>TOTAL - Crews of 9-11</t>
  </si>
  <si>
    <t>OKPIK Winter Camping</t>
  </si>
  <si>
    <t>OKPIK Winter Camping Program</t>
  </si>
  <si>
    <t>Cabin Stay</t>
  </si>
  <si>
    <t>OKPIK Weekends</t>
  </si>
  <si>
    <t>OKPIK Treks</t>
  </si>
  <si>
    <t>Holiday Stay</t>
  </si>
  <si>
    <t>WOW</t>
  </si>
  <si>
    <t>Musher Camp</t>
  </si>
  <si>
    <t>Dog Sled Treks</t>
  </si>
  <si>
    <t>Lodging/Camping During Travel</t>
  </si>
  <si>
    <t>Fishing Licenses</t>
  </si>
  <si>
    <t>Other (side trips, museums, etc)</t>
  </si>
  <si>
    <t>*Regular Weekend Stays are 2 Days</t>
  </si>
  <si>
    <t>*Martin Luther King and President's Day Weekends are 3 Days</t>
  </si>
  <si>
    <t>*Holiday Stay is 5 Days</t>
  </si>
  <si>
    <r>
      <t>Northern Tier Fees: (</t>
    </r>
    <r>
      <rPr>
        <b/>
        <sz val="8"/>
        <rFont val="Arial"/>
        <family val="2"/>
      </rPr>
      <t>$620.00</t>
    </r>
    <r>
      <rPr>
        <sz val="8"/>
        <rFont val="Arial"/>
        <family val="2"/>
      </rPr>
      <t xml:space="preserve"> per crew night)</t>
    </r>
  </si>
  <si>
    <r>
      <t>Crews of 6-8 - Northern Tier Fees: (</t>
    </r>
    <r>
      <rPr>
        <b/>
        <sz val="8"/>
        <rFont val="Arial"/>
        <family val="2"/>
      </rPr>
      <t>$665.00</t>
    </r>
    <r>
      <rPr>
        <sz val="8"/>
        <rFont val="Arial"/>
        <family val="2"/>
      </rPr>
      <t xml:space="preserve"> per crew night)</t>
    </r>
  </si>
  <si>
    <r>
      <t>Crews of 9-11 - Northern Tier Fees: (</t>
    </r>
    <r>
      <rPr>
        <b/>
        <sz val="8"/>
        <rFont val="Arial"/>
        <family val="2"/>
      </rPr>
      <t>$915.00</t>
    </r>
    <r>
      <rPr>
        <sz val="8"/>
        <rFont val="Arial"/>
        <family val="2"/>
      </rPr>
      <t xml:space="preserve"> per crew night)</t>
    </r>
  </si>
  <si>
    <r>
      <t>Northern Tier Fees: (</t>
    </r>
    <r>
      <rPr>
        <b/>
        <sz val="8"/>
        <rFont val="Arial"/>
        <family val="2"/>
      </rPr>
      <t>$665.00</t>
    </r>
    <r>
      <rPr>
        <sz val="8"/>
        <rFont val="Arial"/>
        <family val="2"/>
      </rPr>
      <t xml:space="preserve"> per crew night)</t>
    </r>
  </si>
  <si>
    <t>INSTRUCTIONS</t>
  </si>
  <si>
    <t>1. Open tab for program that you will be attending.</t>
  </si>
  <si>
    <t>2.  Tabs are located at the bottom of this sheet.</t>
  </si>
  <si>
    <t xml:space="preserve">3.  To open, click on name of program: </t>
  </si>
  <si>
    <t xml:space="preserve"> Example:  if you are attending a Canoe trip in Ely, MN, click on the Ely Summer tab below.</t>
  </si>
  <si>
    <t>6-Night</t>
  </si>
  <si>
    <t>7-Night</t>
  </si>
  <si>
    <t>8-Night</t>
  </si>
  <si>
    <t>9-Night</t>
  </si>
  <si>
    <t>10-Night</t>
  </si>
  <si>
    <t>Northern Tier Cost Calculator 2016</t>
  </si>
  <si>
    <t xml:space="preserve">Quetico Park Fees are based on 2015 rates. </t>
  </si>
  <si>
    <t># Nights</t>
  </si>
  <si>
    <t>Northern Tier Cost Calculator 2015-2016</t>
  </si>
  <si>
    <t>11-Night</t>
  </si>
  <si>
    <t>12-Night</t>
  </si>
  <si>
    <t>TOTAL Fishing or Kayak Expedition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</si>
</sst>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91">
    <xf numFmtId="0" fontId="0" fillId="0" borderId="0" xfId="0"/>
    <xf numFmtId="0" fontId="2" fillId="2" borderId="1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3" fillId="6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7" borderId="0" xfId="0" applyFont="1" applyFill="1" applyProtection="1">
      <protection hidden="1"/>
    </xf>
    <xf numFmtId="0" fontId="2" fillId="4" borderId="1" xfId="0" applyNumberFormat="1" applyFont="1" applyFill="1" applyBorder="1" applyAlignment="1" applyProtection="1">
      <alignment horizontal="center"/>
      <protection hidden="1"/>
    </xf>
    <xf numFmtId="8" fontId="2" fillId="0" borderId="0" xfId="0" applyNumberFormat="1" applyFont="1" applyAlignment="1" applyProtection="1">
      <alignment horizontal="center"/>
      <protection hidden="1"/>
    </xf>
    <xf numFmtId="0" fontId="3" fillId="5" borderId="0" xfId="0" applyFont="1" applyFill="1" applyBorder="1" applyProtection="1">
      <protection hidden="1"/>
    </xf>
    <xf numFmtId="0" fontId="3" fillId="5" borderId="0" xfId="0" applyFont="1" applyFill="1" applyProtection="1">
      <protection hidden="1"/>
    </xf>
    <xf numFmtId="8" fontId="2" fillId="5" borderId="0" xfId="0" applyNumberFormat="1" applyFont="1" applyFill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8" fontId="2" fillId="0" borderId="2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wrapText="1"/>
      <protection hidden="1"/>
    </xf>
    <xf numFmtId="8" fontId="3" fillId="0" borderId="2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Fill="1" applyProtection="1">
      <protection hidden="1"/>
    </xf>
    <xf numFmtId="0" fontId="2" fillId="5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2" xfId="0" applyFont="1" applyBorder="1" applyProtection="1">
      <protection hidden="1"/>
    </xf>
    <xf numFmtId="44" fontId="3" fillId="0" borderId="2" xfId="1" applyFont="1" applyBorder="1" applyProtection="1">
      <protection hidden="1"/>
    </xf>
    <xf numFmtId="44" fontId="3" fillId="0" borderId="2" xfId="0" applyNumberFormat="1" applyFont="1" applyBorder="1" applyProtection="1">
      <protection hidden="1"/>
    </xf>
    <xf numFmtId="0" fontId="3" fillId="0" borderId="3" xfId="0" applyFont="1" applyBorder="1" applyAlignment="1" applyProtection="1">
      <alignment wrapText="1"/>
      <protection hidden="1"/>
    </xf>
    <xf numFmtId="0" fontId="3" fillId="6" borderId="2" xfId="0" applyFont="1" applyFill="1" applyBorder="1" applyAlignment="1" applyProtection="1">
      <alignment wrapText="1"/>
      <protection locked="0"/>
    </xf>
    <xf numFmtId="164" fontId="3" fillId="8" borderId="2" xfId="0" applyNumberFormat="1" applyFont="1" applyFill="1" applyBorder="1" applyAlignment="1" applyProtection="1">
      <alignment horizontal="center"/>
      <protection hidden="1"/>
    </xf>
    <xf numFmtId="164" fontId="3" fillId="8" borderId="2" xfId="0" applyNumberFormat="1" applyFont="1" applyFill="1" applyBorder="1" applyProtection="1">
      <protection hidden="1"/>
    </xf>
    <xf numFmtId="164" fontId="3" fillId="7" borderId="2" xfId="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wrapText="1"/>
      <protection locked="0"/>
    </xf>
    <xf numFmtId="0" fontId="2" fillId="8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2" fillId="8" borderId="0" xfId="0" applyFont="1" applyFill="1" applyAlignment="1" applyProtection="1">
      <alignment horizontal="center"/>
      <protection hidden="1"/>
    </xf>
    <xf numFmtId="8" fontId="2" fillId="8" borderId="0" xfId="0" applyNumberFormat="1" applyFont="1" applyFill="1" applyAlignment="1" applyProtection="1">
      <alignment horizontal="center"/>
      <protection hidden="1"/>
    </xf>
    <xf numFmtId="0" fontId="3" fillId="8" borderId="0" xfId="0" applyFont="1" applyFill="1" applyAlignment="1" applyProtection="1">
      <alignment wrapText="1"/>
      <protection hidden="1"/>
    </xf>
    <xf numFmtId="8" fontId="2" fillId="8" borderId="2" xfId="0" applyNumberFormat="1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 wrapText="1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2" fillId="8" borderId="0" xfId="0" applyFont="1" applyFill="1" applyAlignment="1" applyProtection="1">
      <alignment wrapText="1"/>
      <protection hidden="1"/>
    </xf>
    <xf numFmtId="0" fontId="2" fillId="8" borderId="0" xfId="0" applyFont="1" applyFill="1" applyAlignment="1" applyProtection="1">
      <alignment horizontal="center" wrapText="1"/>
      <protection hidden="1"/>
    </xf>
    <xf numFmtId="8" fontId="3" fillId="8" borderId="2" xfId="0" applyNumberFormat="1" applyFont="1" applyFill="1" applyBorder="1" applyAlignment="1" applyProtection="1">
      <alignment horizontal="center"/>
      <protection hidden="1"/>
    </xf>
    <xf numFmtId="0" fontId="5" fillId="0" borderId="0" xfId="2" applyProtection="1">
      <protection hidden="1"/>
    </xf>
    <xf numFmtId="0" fontId="5" fillId="3" borderId="1" xfId="2" applyFill="1" applyBorder="1" applyProtection="1">
      <protection locked="0"/>
    </xf>
    <xf numFmtId="0" fontId="5" fillId="3" borderId="5" xfId="2" applyNumberFormat="1" applyFill="1" applyBorder="1" applyProtection="1">
      <protection locked="0"/>
    </xf>
    <xf numFmtId="0" fontId="5" fillId="3" borderId="6" xfId="2" applyNumberFormat="1" applyFill="1" applyBorder="1" applyProtection="1">
      <protection locked="0"/>
    </xf>
    <xf numFmtId="0" fontId="6" fillId="0" borderId="2" xfId="2" applyFont="1" applyBorder="1" applyProtection="1">
      <protection hidden="1"/>
    </xf>
    <xf numFmtId="0" fontId="4" fillId="0" borderId="2" xfId="2" applyFont="1" applyBorder="1" applyAlignment="1" applyProtection="1">
      <alignment horizontal="right"/>
      <protection hidden="1"/>
    </xf>
    <xf numFmtId="0" fontId="4" fillId="0" borderId="2" xfId="2" applyFont="1" applyBorder="1" applyProtection="1">
      <protection hidden="1"/>
    </xf>
    <xf numFmtId="0" fontId="4" fillId="0" borderId="2" xfId="2" applyFont="1" applyFill="1" applyBorder="1" applyAlignment="1" applyProtection="1">
      <alignment horizontal="center"/>
      <protection hidden="1"/>
    </xf>
    <xf numFmtId="0" fontId="5" fillId="0" borderId="2" xfId="2" applyBorder="1" applyProtection="1">
      <protection hidden="1"/>
    </xf>
    <xf numFmtId="164" fontId="5" fillId="0" borderId="2" xfId="2" applyNumberFormat="1" applyBorder="1" applyProtection="1">
      <protection hidden="1"/>
    </xf>
    <xf numFmtId="164" fontId="4" fillId="0" borderId="2" xfId="2" applyNumberFormat="1" applyFont="1" applyBorder="1" applyProtection="1">
      <protection hidden="1"/>
    </xf>
    <xf numFmtId="164" fontId="5" fillId="3" borderId="2" xfId="2" applyNumberFormat="1" applyFill="1" applyBorder="1" applyProtection="1">
      <protection locked="0"/>
    </xf>
    <xf numFmtId="0" fontId="5" fillId="0" borderId="2" xfId="2" applyFont="1" applyBorder="1" applyProtection="1">
      <protection hidden="1"/>
    </xf>
    <xf numFmtId="0" fontId="7" fillId="0" borderId="0" xfId="2" applyFont="1" applyProtection="1">
      <protection hidden="1"/>
    </xf>
    <xf numFmtId="0" fontId="5" fillId="8" borderId="0" xfId="2" applyFill="1" applyProtection="1">
      <protection hidden="1"/>
    </xf>
    <xf numFmtId="0" fontId="7" fillId="8" borderId="0" xfId="2" applyFont="1" applyFill="1" applyProtection="1">
      <protection hidden="1"/>
    </xf>
    <xf numFmtId="0" fontId="6" fillId="8" borderId="0" xfId="2" applyFont="1" applyFill="1" applyBorder="1" applyAlignment="1" applyProtection="1">
      <alignment horizontal="right"/>
      <protection hidden="1"/>
    </xf>
    <xf numFmtId="0" fontId="5" fillId="8" borderId="0" xfId="2" applyFill="1" applyBorder="1" applyProtection="1">
      <protection hidden="1"/>
    </xf>
    <xf numFmtId="164" fontId="4" fillId="8" borderId="0" xfId="2" applyNumberFormat="1" applyFont="1" applyFill="1" applyBorder="1" applyAlignment="1" applyProtection="1">
      <alignment horizontal="right"/>
      <protection hidden="1"/>
    </xf>
    <xf numFmtId="164" fontId="4" fillId="8" borderId="0" xfId="2" applyNumberFormat="1" applyFont="1" applyFill="1" applyBorder="1" applyProtection="1">
      <protection hidden="1"/>
    </xf>
    <xf numFmtId="0" fontId="4" fillId="8" borderId="0" xfId="2" applyFont="1" applyFill="1" applyAlignment="1" applyProtection="1">
      <alignment horizontal="center"/>
      <protection hidden="1"/>
    </xf>
    <xf numFmtId="0" fontId="5" fillId="8" borderId="7" xfId="2" applyNumberFormat="1" applyFill="1" applyBorder="1" applyProtection="1">
      <protection hidden="1"/>
    </xf>
    <xf numFmtId="0" fontId="5" fillId="8" borderId="0" xfId="2" applyNumberFormat="1" applyFill="1" applyBorder="1" applyProtection="1">
      <protection hidden="1"/>
    </xf>
    <xf numFmtId="0" fontId="6" fillId="8" borderId="0" xfId="2" applyFont="1" applyFill="1" applyProtection="1">
      <protection hidden="1"/>
    </xf>
    <xf numFmtId="0" fontId="4" fillId="8" borderId="0" xfId="2" applyFont="1" applyFill="1" applyProtection="1">
      <protection hidden="1"/>
    </xf>
    <xf numFmtId="0" fontId="3" fillId="0" borderId="3" xfId="0" applyFont="1" applyBorder="1" applyAlignment="1" applyProtection="1">
      <alignment horizontal="left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7" borderId="3" xfId="0" applyFont="1" applyFill="1" applyBorder="1" applyAlignment="1" applyProtection="1">
      <alignment horizontal="left" wrapText="1"/>
      <protection hidden="1"/>
    </xf>
    <xf numFmtId="0" fontId="3" fillId="7" borderId="4" xfId="0" applyFont="1" applyFill="1" applyBorder="1" applyAlignment="1" applyProtection="1">
      <alignment horizontal="left" wrapText="1"/>
      <protection hidden="1"/>
    </xf>
    <xf numFmtId="0" fontId="2" fillId="8" borderId="3" xfId="0" applyFont="1" applyFill="1" applyBorder="1" applyAlignment="1" applyProtection="1">
      <alignment horizontal="left" wrapText="1"/>
      <protection hidden="1"/>
    </xf>
    <xf numFmtId="0" fontId="2" fillId="8" borderId="4" xfId="0" applyFont="1" applyFill="1" applyBorder="1" applyAlignment="1" applyProtection="1">
      <alignment horizontal="left" wrapText="1"/>
      <protection hidden="1"/>
    </xf>
    <xf numFmtId="0" fontId="2" fillId="0" borderId="2" xfId="0" applyFont="1" applyBorder="1" applyAlignment="1" applyProtection="1">
      <alignment horizontal="left" wrapText="1"/>
      <protection hidden="1"/>
    </xf>
    <xf numFmtId="0" fontId="3" fillId="8" borderId="8" xfId="0" applyFont="1" applyFill="1" applyBorder="1" applyAlignment="1" applyProtection="1">
      <alignment horizontal="left" wrapText="1"/>
      <protection hidden="1"/>
    </xf>
    <xf numFmtId="0" fontId="3" fillId="8" borderId="9" xfId="0" applyFont="1" applyFill="1" applyBorder="1" applyAlignment="1" applyProtection="1">
      <alignment horizontal="left" wrapText="1"/>
      <protection hidden="1"/>
    </xf>
    <xf numFmtId="0" fontId="3" fillId="8" borderId="0" xfId="0" applyFont="1" applyFill="1" applyAlignment="1" applyProtection="1">
      <alignment horizontal="left" wrapText="1"/>
      <protection hidden="1"/>
    </xf>
    <xf numFmtId="0" fontId="3" fillId="8" borderId="2" xfId="0" applyFont="1" applyFill="1" applyBorder="1" applyAlignment="1" applyProtection="1">
      <alignment horizontal="left"/>
      <protection hidden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</xdr:row>
      <xdr:rowOff>95250</xdr:rowOff>
    </xdr:from>
    <xdr:to>
      <xdr:col>10</xdr:col>
      <xdr:colOff>234450</xdr:colOff>
      <xdr:row>42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04875"/>
          <a:ext cx="6187575" cy="6029325"/>
        </a:xfrm>
        <a:prstGeom prst="rect">
          <a:avLst/>
        </a:prstGeom>
        <a:ln w="571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P27" sqref="P27"/>
    </sheetView>
  </sheetViews>
  <sheetFormatPr defaultRowHeight="12.75" x14ac:dyDescent="0.2"/>
  <sheetData>
    <row r="1" spans="1:2" x14ac:dyDescent="0.2">
      <c r="A1" t="s">
        <v>80</v>
      </c>
    </row>
    <row r="2" spans="1:2" x14ac:dyDescent="0.2">
      <c r="A2" t="s">
        <v>81</v>
      </c>
    </row>
    <row r="3" spans="1:2" x14ac:dyDescent="0.2">
      <c r="A3" t="s">
        <v>82</v>
      </c>
    </row>
    <row r="4" spans="1:2" x14ac:dyDescent="0.2">
      <c r="A4" t="s">
        <v>83</v>
      </c>
    </row>
    <row r="5" spans="1:2" x14ac:dyDescent="0.2">
      <c r="B5" t="s">
        <v>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workbookViewId="0">
      <selection activeCell="E2" sqref="E2"/>
    </sheetView>
  </sheetViews>
  <sheetFormatPr defaultRowHeight="11.25" x14ac:dyDescent="0.2"/>
  <cols>
    <col min="1" max="1" width="46.7109375" style="7" customWidth="1"/>
    <col min="2" max="2" width="4.140625" style="7" customWidth="1"/>
    <col min="3" max="3" width="9.5703125" style="7" customWidth="1"/>
    <col min="4" max="7" width="9.28515625" style="7" bestFit="1" customWidth="1"/>
    <col min="8" max="8" width="10.7109375" style="7" bestFit="1" customWidth="1"/>
    <col min="9" max="16384" width="9.140625" style="7"/>
  </cols>
  <sheetData>
    <row r="1" spans="1:10" ht="12" thickBot="1" x14ac:dyDescent="0.25">
      <c r="A1" s="6" t="s">
        <v>90</v>
      </c>
      <c r="B1" s="6"/>
      <c r="C1" s="6"/>
      <c r="E1" s="8" t="s">
        <v>14</v>
      </c>
    </row>
    <row r="2" spans="1:10" ht="12" thickBot="1" x14ac:dyDescent="0.25">
      <c r="A2" s="6" t="s">
        <v>15</v>
      </c>
      <c r="B2" s="6"/>
      <c r="C2" s="6"/>
      <c r="E2" s="3"/>
      <c r="H2" s="7" t="s">
        <v>22</v>
      </c>
      <c r="I2" s="9">
        <v>1.0900000000000001</v>
      </c>
      <c r="J2" s="7" t="s">
        <v>48</v>
      </c>
    </row>
    <row r="3" spans="1:10" ht="12" thickBot="1" x14ac:dyDescent="0.25">
      <c r="A3" s="7" t="s">
        <v>33</v>
      </c>
      <c r="B3" s="6"/>
      <c r="C3" s="6"/>
      <c r="D3" s="8" t="s">
        <v>9</v>
      </c>
      <c r="E3" s="8" t="s">
        <v>10</v>
      </c>
      <c r="F3" s="8" t="s">
        <v>11</v>
      </c>
    </row>
    <row r="4" spans="1:10" ht="12" thickBot="1" x14ac:dyDescent="0.25">
      <c r="A4" s="6" t="s">
        <v>5</v>
      </c>
      <c r="B4" s="6"/>
      <c r="C4" s="6"/>
      <c r="D4" s="1"/>
      <c r="E4" s="1"/>
      <c r="F4" s="10">
        <f>D4+E4</f>
        <v>0</v>
      </c>
      <c r="G4" s="11"/>
    </row>
    <row r="5" spans="1:10" ht="3" customHeight="1" x14ac:dyDescent="0.2">
      <c r="A5" s="12"/>
      <c r="B5" s="12"/>
      <c r="C5" s="12"/>
      <c r="D5" s="13"/>
      <c r="E5" s="14"/>
      <c r="F5" s="14"/>
      <c r="G5" s="14"/>
    </row>
    <row r="6" spans="1:10" x14ac:dyDescent="0.2">
      <c r="A6" s="79" t="s">
        <v>13</v>
      </c>
      <c r="B6" s="80"/>
      <c r="C6" s="15" t="s">
        <v>85</v>
      </c>
      <c r="D6" s="16" t="s">
        <v>86</v>
      </c>
      <c r="E6" s="16" t="s">
        <v>87</v>
      </c>
      <c r="F6" s="16" t="s">
        <v>88</v>
      </c>
      <c r="G6" s="16" t="s">
        <v>89</v>
      </c>
      <c r="H6" s="16" t="s">
        <v>94</v>
      </c>
      <c r="I6" s="16" t="s">
        <v>95</v>
      </c>
    </row>
    <row r="7" spans="1:10" x14ac:dyDescent="0.2">
      <c r="A7" s="73" t="s">
        <v>76</v>
      </c>
      <c r="B7" s="74"/>
      <c r="C7" s="18">
        <f>($E$2*620)*6</f>
        <v>0</v>
      </c>
      <c r="D7" s="18">
        <f>($E$2*620)*7</f>
        <v>0</v>
      </c>
      <c r="E7" s="18">
        <f>($E$2*620)*8</f>
        <v>0</v>
      </c>
      <c r="F7" s="18">
        <f>($E$2*620)*9</f>
        <v>0</v>
      </c>
      <c r="G7" s="18">
        <f>($E$2*620)*10</f>
        <v>0</v>
      </c>
      <c r="H7" s="18">
        <f>($E$2*620)*11</f>
        <v>0</v>
      </c>
      <c r="I7" s="18">
        <f>($E$2*620)*12</f>
        <v>0</v>
      </c>
    </row>
    <row r="8" spans="1:10" x14ac:dyDescent="0.2">
      <c r="A8" s="19" t="s">
        <v>1</v>
      </c>
      <c r="B8" s="19"/>
      <c r="C8" s="19"/>
      <c r="D8" s="20"/>
      <c r="E8" s="20"/>
      <c r="F8" s="20"/>
      <c r="G8" s="20"/>
    </row>
    <row r="9" spans="1:10" x14ac:dyDescent="0.2">
      <c r="A9" s="17" t="s">
        <v>38</v>
      </c>
      <c r="B9" s="32"/>
      <c r="C9" s="33">
        <f>B9*5</f>
        <v>0</v>
      </c>
      <c r="D9" s="33">
        <f>B9*5</f>
        <v>0</v>
      </c>
      <c r="E9" s="33">
        <f>B9*5</f>
        <v>0</v>
      </c>
      <c r="F9" s="33">
        <f>B9*5</f>
        <v>0</v>
      </c>
      <c r="G9" s="33">
        <f>B9*5</f>
        <v>0</v>
      </c>
      <c r="H9" s="33">
        <f>B9*5</f>
        <v>0</v>
      </c>
      <c r="I9" s="33">
        <f>B9*5</f>
        <v>0</v>
      </c>
    </row>
    <row r="10" spans="1:10" x14ac:dyDescent="0.2">
      <c r="A10" s="17" t="s">
        <v>39</v>
      </c>
      <c r="B10" s="32"/>
      <c r="C10" s="33">
        <f>B10*10</f>
        <v>0</v>
      </c>
      <c r="D10" s="33">
        <f>B10*10</f>
        <v>0</v>
      </c>
      <c r="E10" s="33">
        <f>B10*10</f>
        <v>0</v>
      </c>
      <c r="F10" s="33">
        <f>B10*10</f>
        <v>0</v>
      </c>
      <c r="G10" s="33">
        <f>B10*10</f>
        <v>0</v>
      </c>
      <c r="H10" s="33">
        <f>B10*10</f>
        <v>0</v>
      </c>
      <c r="I10" s="33">
        <f>B10*10</f>
        <v>0</v>
      </c>
    </row>
    <row r="11" spans="1:10" x14ac:dyDescent="0.2">
      <c r="A11" s="73" t="s">
        <v>2</v>
      </c>
      <c r="B11" s="7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10" x14ac:dyDescent="0.2">
      <c r="A12" s="73" t="s">
        <v>4</v>
      </c>
      <c r="B12" s="7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10" x14ac:dyDescent="0.2">
      <c r="A13" s="73" t="s">
        <v>8</v>
      </c>
      <c r="B13" s="74"/>
      <c r="C13" s="5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0" x14ac:dyDescent="0.2">
      <c r="A14" s="73" t="s">
        <v>40</v>
      </c>
      <c r="B14" s="74"/>
      <c r="C14" s="33">
        <f>100*F4</f>
        <v>0</v>
      </c>
      <c r="D14" s="33">
        <f>100*F4</f>
        <v>0</v>
      </c>
      <c r="E14" s="33">
        <f>100*F4</f>
        <v>0</v>
      </c>
      <c r="F14" s="33">
        <f>100*F4</f>
        <v>0</v>
      </c>
      <c r="G14" s="33">
        <f>100*F4</f>
        <v>0</v>
      </c>
      <c r="H14" s="33">
        <f>100*F4</f>
        <v>0</v>
      </c>
      <c r="I14" s="33">
        <f>100*F4</f>
        <v>0</v>
      </c>
    </row>
    <row r="15" spans="1:10" x14ac:dyDescent="0.2">
      <c r="A15" s="31" t="s">
        <v>36</v>
      </c>
      <c r="B15" s="32"/>
      <c r="C15" s="33">
        <f>B15*8.5</f>
        <v>0</v>
      </c>
      <c r="D15" s="33">
        <f>B15*8.5</f>
        <v>0</v>
      </c>
      <c r="E15" s="33">
        <f>B15*8.5</f>
        <v>0</v>
      </c>
      <c r="F15" s="33">
        <f>B15*8.5</f>
        <v>0</v>
      </c>
      <c r="G15" s="33">
        <f>B15*8.5</f>
        <v>0</v>
      </c>
      <c r="H15" s="33">
        <f>B15*8.5</f>
        <v>0</v>
      </c>
      <c r="I15" s="33">
        <f>B15*8.5</f>
        <v>0</v>
      </c>
    </row>
    <row r="16" spans="1:10" x14ac:dyDescent="0.2">
      <c r="A16" s="31" t="s">
        <v>16</v>
      </c>
      <c r="B16" s="32"/>
      <c r="C16" s="33">
        <f>(B16*30)*5</f>
        <v>0</v>
      </c>
      <c r="D16" s="33">
        <f>(B16*30)*6</f>
        <v>0</v>
      </c>
      <c r="E16" s="33">
        <f>(B16*30)*7</f>
        <v>0</v>
      </c>
      <c r="F16" s="33">
        <f>(B16*30)*8</f>
        <v>0</v>
      </c>
      <c r="G16" s="33">
        <f>(B16*30)*9</f>
        <v>0</v>
      </c>
      <c r="H16" s="33">
        <f>(B16*30)*10</f>
        <v>0</v>
      </c>
      <c r="I16" s="33">
        <f>(B16*30)*11</f>
        <v>0</v>
      </c>
    </row>
    <row r="17" spans="1:9" x14ac:dyDescent="0.2">
      <c r="A17" s="73" t="s">
        <v>29</v>
      </c>
      <c r="B17" s="74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x14ac:dyDescent="0.2">
      <c r="A18" s="73" t="s">
        <v>7</v>
      </c>
      <c r="B18" s="7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x14ac:dyDescent="0.2">
      <c r="A19" s="79" t="s">
        <v>55</v>
      </c>
      <c r="B19" s="80"/>
      <c r="C19" s="16">
        <f>SUM(C7:C18)</f>
        <v>0</v>
      </c>
      <c r="D19" s="16">
        <f>SUM(D7:D18)</f>
        <v>0</v>
      </c>
      <c r="E19" s="16">
        <f t="shared" ref="E19:I19" si="0">SUM(E7:E18)</f>
        <v>0</v>
      </c>
      <c r="F19" s="16">
        <f t="shared" si="0"/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</row>
    <row r="20" spans="1:9" ht="3" customHeight="1" x14ac:dyDescent="0.2">
      <c r="A20" s="21"/>
      <c r="B20" s="21"/>
      <c r="C20" s="21"/>
      <c r="D20" s="13"/>
      <c r="E20" s="13"/>
      <c r="F20" s="13"/>
      <c r="G20" s="13"/>
      <c r="H20" s="13"/>
      <c r="I20" s="13"/>
    </row>
    <row r="21" spans="1:9" ht="3" customHeight="1" x14ac:dyDescent="0.2">
      <c r="A21" s="21"/>
      <c r="B21" s="21"/>
      <c r="C21" s="21"/>
      <c r="D21" s="13"/>
      <c r="E21" s="13"/>
      <c r="F21" s="13"/>
      <c r="G21" s="13"/>
      <c r="H21" s="13"/>
      <c r="I21" s="13"/>
    </row>
    <row r="22" spans="1:9" x14ac:dyDescent="0.2">
      <c r="A22" s="22" t="s">
        <v>0</v>
      </c>
      <c r="B22" s="22"/>
      <c r="C22" s="23" t="s">
        <v>85</v>
      </c>
      <c r="D22" s="8" t="s">
        <v>86</v>
      </c>
      <c r="E22" s="8" t="s">
        <v>87</v>
      </c>
      <c r="F22" s="8" t="s">
        <v>88</v>
      </c>
      <c r="G22" s="8" t="s">
        <v>89</v>
      </c>
      <c r="H22" s="8" t="s">
        <v>94</v>
      </c>
      <c r="I22" s="8" t="s">
        <v>95</v>
      </c>
    </row>
    <row r="23" spans="1:9" x14ac:dyDescent="0.2">
      <c r="A23" s="73" t="s">
        <v>76</v>
      </c>
      <c r="B23" s="74"/>
      <c r="C23" s="18">
        <f>($E$2*620)*6</f>
        <v>0</v>
      </c>
      <c r="D23" s="18">
        <f>($E$2*620)*7</f>
        <v>0</v>
      </c>
      <c r="E23" s="18">
        <f>($E$2*620)*8</f>
        <v>0</v>
      </c>
      <c r="F23" s="18">
        <f>($E$2*620)*9</f>
        <v>0</v>
      </c>
      <c r="G23" s="18">
        <f>($E$2*620)*10</f>
        <v>0</v>
      </c>
      <c r="H23" s="18">
        <f>($E$2*620)*11</f>
        <v>0</v>
      </c>
      <c r="I23" s="18">
        <f>($E$2*620)*12</f>
        <v>0</v>
      </c>
    </row>
    <row r="24" spans="1:9" x14ac:dyDescent="0.2">
      <c r="A24" s="82" t="s">
        <v>19</v>
      </c>
      <c r="B24" s="83"/>
      <c r="C24" s="35">
        <f>((21.5*$E$4)*4)*$I$2</f>
        <v>0</v>
      </c>
      <c r="D24" s="35">
        <f>((21.5*$E$4)*5)*$I$2</f>
        <v>0</v>
      </c>
      <c r="E24" s="35">
        <f>((21.5*$E$4)*6)*$I$2</f>
        <v>0</v>
      </c>
      <c r="F24" s="35">
        <f>((21.5*$E$4)*7)*$I$2</f>
        <v>0</v>
      </c>
      <c r="G24" s="35">
        <f>((21.5*$E$4)*8)*$I$2</f>
        <v>0</v>
      </c>
      <c r="H24" s="35">
        <f>((21.5*$E$4)*9)*$I$2</f>
        <v>0</v>
      </c>
      <c r="I24" s="35">
        <f>((21.5*$E$4)*10)*$I$2</f>
        <v>0</v>
      </c>
    </row>
    <row r="25" spans="1:9" x14ac:dyDescent="0.2">
      <c r="A25" s="82" t="s">
        <v>20</v>
      </c>
      <c r="B25" s="83"/>
      <c r="C25" s="35">
        <f>((21.5*4)*$E$2)*$I$2</f>
        <v>0</v>
      </c>
      <c r="D25" s="35">
        <f>((21.5*5)*$E$2)*$I$2</f>
        <v>0</v>
      </c>
      <c r="E25" s="35">
        <f>((21.5*6)*$E$2)*$I$2</f>
        <v>0</v>
      </c>
      <c r="F25" s="35">
        <f>((21.5*7)*$E$2)*$I$2</f>
        <v>0</v>
      </c>
      <c r="G25" s="35">
        <f>((21.5*8)*$E$2)*$I$2</f>
        <v>0</v>
      </c>
      <c r="H25" s="35">
        <f>((21.5*9)*$E$2)*$I$2</f>
        <v>0</v>
      </c>
      <c r="I25" s="35">
        <f>((21.5*10)*$E$2)*$I$2</f>
        <v>0</v>
      </c>
    </row>
    <row r="26" spans="1:9" x14ac:dyDescent="0.2">
      <c r="A26" s="82" t="s">
        <v>21</v>
      </c>
      <c r="B26" s="83"/>
      <c r="C26" s="35">
        <f>(($D$4*8.5)*4)*$I$2</f>
        <v>0</v>
      </c>
      <c r="D26" s="35">
        <f>(($D$4*8.5)*5)*$I$2</f>
        <v>0</v>
      </c>
      <c r="E26" s="35">
        <f>(($D$4*8.5)*6)*$I$2</f>
        <v>0</v>
      </c>
      <c r="F26" s="35">
        <f>(($D$4*8.5)*7)*$I$2</f>
        <v>0</v>
      </c>
      <c r="G26" s="35">
        <f>(($D$4*8.5)*8)*$I$2</f>
        <v>0</v>
      </c>
      <c r="H26" s="35">
        <f>(($D$4*8.5)*9)*$I$2</f>
        <v>0</v>
      </c>
      <c r="I26" s="35">
        <f>(($D$4*8.5)*10)*$I$2</f>
        <v>0</v>
      </c>
    </row>
    <row r="27" spans="1:9" x14ac:dyDescent="0.2">
      <c r="A27" s="79" t="s">
        <v>12</v>
      </c>
      <c r="B27" s="80"/>
      <c r="C27" s="24">
        <f>SUM(C23:C26)</f>
        <v>0</v>
      </c>
      <c r="D27" s="24">
        <f>SUM(D23:D26)</f>
        <v>0</v>
      </c>
      <c r="E27" s="24">
        <f>SUM(E23:E26)</f>
        <v>0</v>
      </c>
      <c r="F27" s="24">
        <f>SUM(F23:F26)</f>
        <v>0</v>
      </c>
      <c r="G27" s="24">
        <f>SUM(G23:G26)</f>
        <v>0</v>
      </c>
      <c r="H27" s="24">
        <f t="shared" ref="H27:I27" si="1">SUM(H23:H26)</f>
        <v>0</v>
      </c>
      <c r="I27" s="24">
        <f t="shared" si="1"/>
        <v>0</v>
      </c>
    </row>
    <row r="28" spans="1:9" x14ac:dyDescent="0.2">
      <c r="A28" s="19" t="s">
        <v>1</v>
      </c>
      <c r="B28" s="19"/>
      <c r="C28" s="25"/>
      <c r="D28" s="26"/>
      <c r="E28" s="26"/>
      <c r="F28" s="26"/>
      <c r="G28" s="26"/>
    </row>
    <row r="29" spans="1:9" x14ac:dyDescent="0.2">
      <c r="A29" s="17" t="s">
        <v>38</v>
      </c>
      <c r="B29" s="32"/>
      <c r="C29" s="33">
        <f>B29*5</f>
        <v>0</v>
      </c>
      <c r="D29" s="33">
        <f>B29*5</f>
        <v>0</v>
      </c>
      <c r="E29" s="33">
        <f>B29*5</f>
        <v>0</v>
      </c>
      <c r="F29" s="33">
        <f>B29*5</f>
        <v>0</v>
      </c>
      <c r="G29" s="33">
        <f>B29*5</f>
        <v>0</v>
      </c>
      <c r="H29" s="33">
        <f>B29*5</f>
        <v>0</v>
      </c>
      <c r="I29" s="33">
        <f>B29*5</f>
        <v>0</v>
      </c>
    </row>
    <row r="30" spans="1:9" x14ac:dyDescent="0.2">
      <c r="A30" s="17" t="s">
        <v>39</v>
      </c>
      <c r="B30" s="32"/>
      <c r="C30" s="33">
        <f>B30*10</f>
        <v>0</v>
      </c>
      <c r="D30" s="33">
        <f>B30*10</f>
        <v>0</v>
      </c>
      <c r="E30" s="33">
        <f>B30*10</f>
        <v>0</v>
      </c>
      <c r="F30" s="33">
        <f>B30*10</f>
        <v>0</v>
      </c>
      <c r="G30" s="33">
        <f>B30*10</f>
        <v>0</v>
      </c>
      <c r="H30" s="33">
        <f>B30*10</f>
        <v>0</v>
      </c>
      <c r="I30" s="33">
        <f>B30*10</f>
        <v>0</v>
      </c>
    </row>
    <row r="31" spans="1:9" x14ac:dyDescent="0.2">
      <c r="A31" s="73" t="s">
        <v>3</v>
      </c>
      <c r="B31" s="7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x14ac:dyDescent="0.2">
      <c r="A32" s="73" t="s">
        <v>40</v>
      </c>
      <c r="B32" s="74"/>
      <c r="C32" s="33">
        <f>100*F4</f>
        <v>0</v>
      </c>
      <c r="D32" s="33">
        <f>100*F4</f>
        <v>0</v>
      </c>
      <c r="E32" s="33">
        <f>100*F4</f>
        <v>0</v>
      </c>
      <c r="F32" s="33">
        <f>100*F4</f>
        <v>0</v>
      </c>
      <c r="G32" s="33">
        <f>100*F4</f>
        <v>0</v>
      </c>
      <c r="H32" s="33">
        <f>100*F4</f>
        <v>0</v>
      </c>
      <c r="I32" s="33">
        <f>100*F4</f>
        <v>0</v>
      </c>
    </row>
    <row r="33" spans="1:9" x14ac:dyDescent="0.2">
      <c r="A33" s="17" t="s">
        <v>37</v>
      </c>
      <c r="B33" s="32"/>
      <c r="C33" s="33">
        <f>B33*8.5</f>
        <v>0</v>
      </c>
      <c r="D33" s="33">
        <f>B33*8.5</f>
        <v>0</v>
      </c>
      <c r="E33" s="33">
        <f>B33*8.5</f>
        <v>0</v>
      </c>
      <c r="F33" s="33">
        <f>B33*8.5</f>
        <v>0</v>
      </c>
      <c r="G33" s="33">
        <f>B33*8.5</f>
        <v>0</v>
      </c>
      <c r="H33" s="33">
        <f>B33*8.5</f>
        <v>0</v>
      </c>
      <c r="I33" s="33">
        <f>B33*8.5</f>
        <v>0</v>
      </c>
    </row>
    <row r="34" spans="1:9" x14ac:dyDescent="0.2">
      <c r="A34" s="73" t="s">
        <v>2</v>
      </c>
      <c r="B34" s="7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x14ac:dyDescent="0.2">
      <c r="A35" s="17" t="s">
        <v>16</v>
      </c>
      <c r="B35" s="32"/>
      <c r="C35" s="33">
        <f>(B35*30)*5</f>
        <v>0</v>
      </c>
      <c r="D35" s="33">
        <f>(B35*30)*6</f>
        <v>0</v>
      </c>
      <c r="E35" s="33">
        <f>(B35*30)*7</f>
        <v>0</v>
      </c>
      <c r="F35" s="33">
        <f>(B35*30)*8</f>
        <v>0</v>
      </c>
      <c r="G35" s="33">
        <f>(B35*30)*9</f>
        <v>0</v>
      </c>
      <c r="H35" s="33">
        <f>(B35*30)*10</f>
        <v>0</v>
      </c>
      <c r="I35" s="33">
        <f>(B35*30)*11</f>
        <v>0</v>
      </c>
    </row>
    <row r="36" spans="1:9" x14ac:dyDescent="0.2">
      <c r="A36" s="73" t="s">
        <v>4</v>
      </c>
      <c r="B36" s="7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x14ac:dyDescent="0.2">
      <c r="A37" s="73" t="s">
        <v>29</v>
      </c>
      <c r="B37" s="74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x14ac:dyDescent="0.2">
      <c r="A38" s="79" t="s">
        <v>56</v>
      </c>
      <c r="B38" s="80"/>
      <c r="C38" s="16">
        <f>SUM(C27:C37)</f>
        <v>0</v>
      </c>
      <c r="D38" s="16">
        <f>SUM(D27:D37)</f>
        <v>0</v>
      </c>
      <c r="E38" s="16">
        <f t="shared" ref="E38:G38" si="2">SUM(E27:E37)</f>
        <v>0</v>
      </c>
      <c r="F38" s="16">
        <f t="shared" si="2"/>
        <v>0</v>
      </c>
      <c r="G38" s="16">
        <f t="shared" si="2"/>
        <v>0</v>
      </c>
      <c r="H38" s="16">
        <f t="shared" ref="H38:I38" si="3">SUM(H27:H37)</f>
        <v>0</v>
      </c>
      <c r="I38" s="16">
        <f t="shared" si="3"/>
        <v>0</v>
      </c>
    </row>
    <row r="39" spans="1:9" ht="3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1.25" customHeight="1" x14ac:dyDescent="0.2">
      <c r="A40" s="81"/>
      <c r="B40" s="81"/>
      <c r="C40" s="81"/>
      <c r="D40" s="81"/>
      <c r="E40" s="81"/>
      <c r="F40" s="81"/>
      <c r="G40" s="81"/>
    </row>
    <row r="41" spans="1:9" ht="11.25" customHeight="1" x14ac:dyDescent="0.2">
      <c r="A41" s="27" t="s">
        <v>91</v>
      </c>
      <c r="B41" s="27"/>
      <c r="C41" s="20"/>
      <c r="D41" s="20"/>
      <c r="E41" s="20"/>
      <c r="F41" s="20"/>
      <c r="G41" s="20"/>
    </row>
    <row r="43" spans="1:9" x14ac:dyDescent="0.2">
      <c r="A43" s="6" t="s">
        <v>17</v>
      </c>
      <c r="B43" s="6"/>
    </row>
    <row r="44" spans="1:9" x14ac:dyDescent="0.2">
      <c r="A44" s="77" t="s">
        <v>42</v>
      </c>
      <c r="B44" s="78"/>
      <c r="C44" s="29">
        <f>F4*650</f>
        <v>0</v>
      </c>
    </row>
    <row r="45" spans="1:9" x14ac:dyDescent="0.2">
      <c r="A45" s="73" t="s">
        <v>1</v>
      </c>
      <c r="B45" s="74"/>
      <c r="C45" s="28"/>
    </row>
    <row r="46" spans="1:9" x14ac:dyDescent="0.2">
      <c r="A46" s="17" t="s">
        <v>38</v>
      </c>
      <c r="B46" s="32"/>
      <c r="C46" s="34">
        <f>B46*5</f>
        <v>0</v>
      </c>
    </row>
    <row r="47" spans="1:9" x14ac:dyDescent="0.2">
      <c r="A47" s="17" t="s">
        <v>39</v>
      </c>
      <c r="B47" s="32"/>
      <c r="C47" s="34">
        <f>B47*10</f>
        <v>0</v>
      </c>
    </row>
    <row r="48" spans="1:9" x14ac:dyDescent="0.2">
      <c r="A48" s="73" t="s">
        <v>40</v>
      </c>
      <c r="B48" s="74"/>
      <c r="C48" s="34">
        <f>F4*100</f>
        <v>0</v>
      </c>
    </row>
    <row r="49" spans="1:3" x14ac:dyDescent="0.2">
      <c r="A49" s="73" t="s">
        <v>3</v>
      </c>
      <c r="B49" s="74"/>
      <c r="C49" s="2">
        <v>0</v>
      </c>
    </row>
    <row r="50" spans="1:3" x14ac:dyDescent="0.2">
      <c r="A50" s="17" t="s">
        <v>43</v>
      </c>
      <c r="B50" s="32"/>
      <c r="C50" s="34">
        <f>B50*8.5</f>
        <v>0</v>
      </c>
    </row>
    <row r="51" spans="1:3" x14ac:dyDescent="0.2">
      <c r="A51" s="73" t="s">
        <v>2</v>
      </c>
      <c r="B51" s="74"/>
      <c r="C51" s="2">
        <v>0</v>
      </c>
    </row>
    <row r="52" spans="1:3" x14ac:dyDescent="0.2">
      <c r="A52" s="73" t="s">
        <v>4</v>
      </c>
      <c r="B52" s="74"/>
      <c r="C52" s="2">
        <v>0</v>
      </c>
    </row>
    <row r="53" spans="1:3" ht="14.25" customHeight="1" x14ac:dyDescent="0.2">
      <c r="A53" s="73" t="s">
        <v>29</v>
      </c>
      <c r="B53" s="74"/>
      <c r="C53" s="2">
        <v>0</v>
      </c>
    </row>
    <row r="54" spans="1:3" x14ac:dyDescent="0.2">
      <c r="A54" s="75" t="s">
        <v>57</v>
      </c>
      <c r="B54" s="76"/>
      <c r="C54" s="30">
        <f>SUM(C44:C53)</f>
        <v>0</v>
      </c>
    </row>
    <row r="55" spans="1:3" x14ac:dyDescent="0.2">
      <c r="A55" s="7" t="s">
        <v>32</v>
      </c>
    </row>
    <row r="57" spans="1:3" x14ac:dyDescent="0.2">
      <c r="A57" s="6" t="s">
        <v>18</v>
      </c>
      <c r="B57" s="6"/>
    </row>
    <row r="58" spans="1:3" x14ac:dyDescent="0.2">
      <c r="A58" s="77" t="s">
        <v>41</v>
      </c>
      <c r="B58" s="78"/>
      <c r="C58" s="29">
        <f>F4*600</f>
        <v>0</v>
      </c>
    </row>
    <row r="59" spans="1:3" x14ac:dyDescent="0.2">
      <c r="A59" s="73" t="s">
        <v>1</v>
      </c>
      <c r="B59" s="74"/>
      <c r="C59" s="28"/>
    </row>
    <row r="60" spans="1:3" x14ac:dyDescent="0.2">
      <c r="A60" s="17" t="s">
        <v>38</v>
      </c>
      <c r="B60" s="32"/>
      <c r="C60" s="34">
        <f>B60*5</f>
        <v>0</v>
      </c>
    </row>
    <row r="61" spans="1:3" x14ac:dyDescent="0.2">
      <c r="A61" s="17" t="s">
        <v>39</v>
      </c>
      <c r="B61" s="32"/>
      <c r="C61" s="34">
        <f>B61*10</f>
        <v>0</v>
      </c>
    </row>
    <row r="62" spans="1:3" x14ac:dyDescent="0.2">
      <c r="A62" s="73" t="s">
        <v>40</v>
      </c>
      <c r="B62" s="74"/>
      <c r="C62" s="34">
        <f>F4*100</f>
        <v>0</v>
      </c>
    </row>
    <row r="63" spans="1:3" x14ac:dyDescent="0.2">
      <c r="A63" s="73" t="s">
        <v>3</v>
      </c>
      <c r="B63" s="74"/>
      <c r="C63" s="2">
        <v>0</v>
      </c>
    </row>
    <row r="64" spans="1:3" x14ac:dyDescent="0.2">
      <c r="A64" s="17" t="s">
        <v>43</v>
      </c>
      <c r="B64" s="32"/>
      <c r="C64" s="34">
        <f>B64*8.5</f>
        <v>0</v>
      </c>
    </row>
    <row r="65" spans="1:3" x14ac:dyDescent="0.2">
      <c r="A65" s="73" t="s">
        <v>2</v>
      </c>
      <c r="B65" s="74"/>
      <c r="C65" s="2">
        <v>0</v>
      </c>
    </row>
    <row r="66" spans="1:3" x14ac:dyDescent="0.2">
      <c r="A66" s="73" t="s">
        <v>4</v>
      </c>
      <c r="B66" s="74"/>
      <c r="C66" s="2">
        <v>0</v>
      </c>
    </row>
    <row r="67" spans="1:3" x14ac:dyDescent="0.2">
      <c r="A67" s="73" t="s">
        <v>29</v>
      </c>
      <c r="B67" s="74"/>
      <c r="C67" s="2">
        <v>0</v>
      </c>
    </row>
    <row r="68" spans="1:3" x14ac:dyDescent="0.2">
      <c r="A68" s="75" t="s">
        <v>58</v>
      </c>
      <c r="B68" s="76"/>
      <c r="C68" s="30">
        <f>SUM(C58:C67)</f>
        <v>0</v>
      </c>
    </row>
    <row r="70" spans="1:3" x14ac:dyDescent="0.2">
      <c r="A70" s="7" t="s">
        <v>32</v>
      </c>
    </row>
  </sheetData>
  <sheetProtection selectLockedCells="1"/>
  <mergeCells count="37">
    <mergeCell ref="A24:B24"/>
    <mergeCell ref="A25:B25"/>
    <mergeCell ref="A26:B26"/>
    <mergeCell ref="A11:B11"/>
    <mergeCell ref="A12:B12"/>
    <mergeCell ref="A13:B13"/>
    <mergeCell ref="A14:B14"/>
    <mergeCell ref="A17:B17"/>
    <mergeCell ref="A6:B6"/>
    <mergeCell ref="A7:B7"/>
    <mergeCell ref="A18:B18"/>
    <mergeCell ref="A19:B19"/>
    <mergeCell ref="A23:B23"/>
    <mergeCell ref="A49:B49"/>
    <mergeCell ref="A48:B48"/>
    <mergeCell ref="A27:B27"/>
    <mergeCell ref="A38:B38"/>
    <mergeCell ref="A37:B37"/>
    <mergeCell ref="A36:B36"/>
    <mergeCell ref="A34:B34"/>
    <mergeCell ref="A32:B32"/>
    <mergeCell ref="A31:B31"/>
    <mergeCell ref="A40:G40"/>
    <mergeCell ref="A45:B45"/>
    <mergeCell ref="A44:B44"/>
    <mergeCell ref="A52:B52"/>
    <mergeCell ref="A51:B51"/>
    <mergeCell ref="A54:B54"/>
    <mergeCell ref="A68:B68"/>
    <mergeCell ref="A67:B67"/>
    <mergeCell ref="A66:B66"/>
    <mergeCell ref="A65:B65"/>
    <mergeCell ref="A63:B63"/>
    <mergeCell ref="A62:B62"/>
    <mergeCell ref="A59:B59"/>
    <mergeCell ref="A58:B58"/>
    <mergeCell ref="A53:B53"/>
  </mergeCells>
  <phoneticPr fontId="0" type="noConversion"/>
  <pageMargins left="0.25" right="0.25" top="0.25" bottom="0.25" header="0.25" footer="0.25"/>
  <pageSetup orientation="landscape" horizontalDpi="4294967294" r:id="rId1"/>
  <headerFooter alignWithMargins="0"/>
  <ignoredErrors>
    <ignoredError sqref="C14:G14 C32:G32" unlockedFormula="1"/>
  </ignoredErrors>
  <webPublishItems count="1">
    <webPublishItem id="4587" divId="CLSommersBudgetWorksheet_4587" sourceType="sheet" destinationFile="C:\WINDOWS\Desktop\ExpPlanning05\CLSommers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workbookViewId="0">
      <selection activeCell="C9" sqref="C9"/>
    </sheetView>
  </sheetViews>
  <sheetFormatPr defaultRowHeight="11.25" x14ac:dyDescent="0.2"/>
  <cols>
    <col min="1" max="1" width="46.7109375" style="7" customWidth="1"/>
    <col min="2" max="2" width="4.140625" style="7" customWidth="1"/>
    <col min="3" max="3" width="9.5703125" style="7" customWidth="1"/>
    <col min="4" max="7" width="9.28515625" style="7" bestFit="1" customWidth="1"/>
    <col min="8" max="8" width="11.42578125" style="7" bestFit="1" customWidth="1"/>
    <col min="9" max="16384" width="9.140625" style="7"/>
  </cols>
  <sheetData>
    <row r="1" spans="1:11" ht="12" thickBot="1" x14ac:dyDescent="0.25">
      <c r="A1" s="37" t="s">
        <v>90</v>
      </c>
      <c r="B1" s="37"/>
      <c r="C1" s="37"/>
      <c r="D1" s="38"/>
      <c r="E1" s="39" t="s">
        <v>14</v>
      </c>
      <c r="F1" s="38"/>
      <c r="G1" s="38"/>
      <c r="H1" s="38"/>
      <c r="J1" s="38"/>
      <c r="K1" s="38"/>
    </row>
    <row r="2" spans="1:11" ht="12" thickBot="1" x14ac:dyDescent="0.25">
      <c r="A2" s="37" t="s">
        <v>24</v>
      </c>
      <c r="B2" s="37"/>
      <c r="C2" s="37"/>
      <c r="D2" s="38"/>
      <c r="E2" s="3"/>
      <c r="F2" s="38"/>
      <c r="G2" s="38"/>
      <c r="H2" s="38" t="s">
        <v>22</v>
      </c>
      <c r="I2" s="9">
        <v>1.0900000000000001</v>
      </c>
      <c r="J2" s="38" t="s">
        <v>49</v>
      </c>
      <c r="K2" s="38"/>
    </row>
    <row r="3" spans="1:11" ht="12" thickBot="1" x14ac:dyDescent="0.25">
      <c r="A3" s="38" t="s">
        <v>33</v>
      </c>
      <c r="B3" s="37"/>
      <c r="C3" s="37"/>
      <c r="D3" s="39" t="s">
        <v>9</v>
      </c>
      <c r="E3" s="39" t="s">
        <v>10</v>
      </c>
      <c r="F3" s="39" t="s">
        <v>11</v>
      </c>
      <c r="G3" s="38"/>
      <c r="H3" s="38"/>
      <c r="I3" s="38"/>
      <c r="J3" s="38"/>
      <c r="K3" s="38"/>
    </row>
    <row r="4" spans="1:11" ht="12" thickBot="1" x14ac:dyDescent="0.25">
      <c r="A4" s="37" t="s">
        <v>5</v>
      </c>
      <c r="B4" s="37"/>
      <c r="C4" s="37"/>
      <c r="D4" s="1"/>
      <c r="E4" s="1"/>
      <c r="F4" s="10">
        <f>D4+E4</f>
        <v>0</v>
      </c>
      <c r="G4" s="40"/>
      <c r="H4" s="38"/>
      <c r="I4" s="38"/>
      <c r="J4" s="38"/>
      <c r="K4" s="38"/>
    </row>
    <row r="5" spans="1:11" ht="3" customHeight="1" x14ac:dyDescent="0.2">
      <c r="A5" s="12"/>
      <c r="B5" s="12"/>
      <c r="C5" s="12"/>
      <c r="D5" s="13"/>
      <c r="E5" s="14"/>
      <c r="F5" s="14"/>
      <c r="G5" s="14"/>
      <c r="H5" s="38"/>
      <c r="I5" s="38"/>
      <c r="J5" s="38"/>
      <c r="K5" s="38"/>
    </row>
    <row r="6" spans="1:11" x14ac:dyDescent="0.2">
      <c r="A6" s="79" t="s">
        <v>23</v>
      </c>
      <c r="B6" s="80"/>
      <c r="C6" s="15" t="s">
        <v>85</v>
      </c>
      <c r="D6" s="16" t="s">
        <v>86</v>
      </c>
      <c r="E6" s="16" t="s">
        <v>87</v>
      </c>
      <c r="F6" s="16" t="s">
        <v>88</v>
      </c>
      <c r="G6" s="16" t="s">
        <v>89</v>
      </c>
      <c r="H6" s="16" t="s">
        <v>94</v>
      </c>
      <c r="I6" s="16" t="s">
        <v>95</v>
      </c>
      <c r="J6" s="38"/>
      <c r="K6" s="38"/>
    </row>
    <row r="7" spans="1:11" x14ac:dyDescent="0.2">
      <c r="A7" s="73" t="s">
        <v>77</v>
      </c>
      <c r="B7" s="74"/>
      <c r="C7" s="18">
        <f>($E$2*665)*6</f>
        <v>0</v>
      </c>
      <c r="D7" s="18">
        <f>($E$2*665)*7</f>
        <v>0</v>
      </c>
      <c r="E7" s="18">
        <f>($E$2*665)*8</f>
        <v>0</v>
      </c>
      <c r="F7" s="18">
        <f>($E$2*665)*9</f>
        <v>0</v>
      </c>
      <c r="G7" s="18">
        <f>($E$2*665)*10</f>
        <v>0</v>
      </c>
      <c r="H7" s="18">
        <f>($E$2*665)*11</f>
        <v>0</v>
      </c>
      <c r="I7" s="18">
        <f>($E$2*665)*12</f>
        <v>0</v>
      </c>
      <c r="J7" s="38"/>
      <c r="K7" s="38"/>
    </row>
    <row r="8" spans="1:11" x14ac:dyDescent="0.2">
      <c r="A8" s="73" t="s">
        <v>78</v>
      </c>
      <c r="B8" s="74"/>
      <c r="C8" s="18">
        <f>($E$2*915)*6</f>
        <v>0</v>
      </c>
      <c r="D8" s="18">
        <f>($E$2*915)*7</f>
        <v>0</v>
      </c>
      <c r="E8" s="18">
        <f>($E$2*915)*8</f>
        <v>0</v>
      </c>
      <c r="F8" s="18">
        <f>($E$2*915)*9</f>
        <v>0</v>
      </c>
      <c r="G8" s="18">
        <f>($E$2*915)*10</f>
        <v>0</v>
      </c>
      <c r="H8" s="18">
        <f>($E$2*915)*11</f>
        <v>0</v>
      </c>
      <c r="I8" s="18">
        <f>($E$2*915)*12</f>
        <v>0</v>
      </c>
      <c r="J8" s="38"/>
      <c r="K8" s="38"/>
    </row>
    <row r="9" spans="1:11" x14ac:dyDescent="0.2">
      <c r="A9" s="90" t="s">
        <v>52</v>
      </c>
      <c r="B9" s="90"/>
      <c r="C9" s="47">
        <f>E2*4475</f>
        <v>0</v>
      </c>
      <c r="D9" s="47" t="s">
        <v>53</v>
      </c>
      <c r="E9" s="47" t="s">
        <v>53</v>
      </c>
      <c r="F9" s="47" t="s">
        <v>53</v>
      </c>
      <c r="G9" s="47" t="s">
        <v>53</v>
      </c>
      <c r="H9" s="47" t="s">
        <v>53</v>
      </c>
      <c r="I9" s="47" t="s">
        <v>53</v>
      </c>
      <c r="J9" s="38"/>
      <c r="K9" s="38"/>
    </row>
    <row r="10" spans="1:11" x14ac:dyDescent="0.2">
      <c r="A10" s="87" t="s">
        <v>1</v>
      </c>
      <c r="B10" s="88"/>
      <c r="C10" s="88"/>
      <c r="D10" s="88"/>
      <c r="E10" s="88"/>
      <c r="F10" s="88"/>
      <c r="G10" s="88"/>
      <c r="H10" s="88"/>
      <c r="I10" s="88"/>
      <c r="J10" s="38"/>
      <c r="K10" s="38"/>
    </row>
    <row r="11" spans="1:11" x14ac:dyDescent="0.2">
      <c r="A11" s="17" t="s">
        <v>38</v>
      </c>
      <c r="B11" s="32"/>
      <c r="C11" s="33">
        <f>B11*5</f>
        <v>0</v>
      </c>
      <c r="D11" s="33">
        <f>B11*5</f>
        <v>0</v>
      </c>
      <c r="E11" s="33">
        <f>B11*5</f>
        <v>0</v>
      </c>
      <c r="F11" s="33">
        <f>B11*5</f>
        <v>0</v>
      </c>
      <c r="G11" s="33">
        <f>B11*5</f>
        <v>0</v>
      </c>
      <c r="H11" s="33">
        <f>B11*5</f>
        <v>0</v>
      </c>
      <c r="I11" s="33">
        <f>B11*5</f>
        <v>0</v>
      </c>
      <c r="J11" s="38"/>
      <c r="K11" s="38"/>
    </row>
    <row r="12" spans="1:11" x14ac:dyDescent="0.2">
      <c r="A12" s="17" t="s">
        <v>39</v>
      </c>
      <c r="B12" s="32"/>
      <c r="C12" s="33">
        <f>B12*10</f>
        <v>0</v>
      </c>
      <c r="D12" s="33">
        <f>B12*10</f>
        <v>0</v>
      </c>
      <c r="E12" s="33">
        <f>B12*10</f>
        <v>0</v>
      </c>
      <c r="F12" s="33">
        <f>B12*10</f>
        <v>0</v>
      </c>
      <c r="G12" s="33">
        <f>B12*10</f>
        <v>0</v>
      </c>
      <c r="H12" s="33">
        <f>B12*10</f>
        <v>0</v>
      </c>
      <c r="I12" s="33">
        <f>B12*10</f>
        <v>0</v>
      </c>
      <c r="J12" s="38"/>
      <c r="K12" s="38"/>
    </row>
    <row r="13" spans="1:11" x14ac:dyDescent="0.2">
      <c r="A13" s="73" t="s">
        <v>2</v>
      </c>
      <c r="B13" s="74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38"/>
      <c r="K13" s="38"/>
    </row>
    <row r="14" spans="1:11" x14ac:dyDescent="0.2">
      <c r="A14" s="73" t="s">
        <v>4</v>
      </c>
      <c r="B14" s="74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38"/>
      <c r="K14" s="38"/>
    </row>
    <row r="15" spans="1:11" x14ac:dyDescent="0.2">
      <c r="A15" s="73" t="s">
        <v>8</v>
      </c>
      <c r="B15" s="74"/>
      <c r="C15" s="5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38"/>
      <c r="K15" s="38"/>
    </row>
    <row r="16" spans="1:11" x14ac:dyDescent="0.2">
      <c r="A16" s="73" t="s">
        <v>40</v>
      </c>
      <c r="B16" s="74"/>
      <c r="C16" s="33">
        <f>100*F4</f>
        <v>0</v>
      </c>
      <c r="D16" s="33">
        <f>100*F4</f>
        <v>0</v>
      </c>
      <c r="E16" s="33">
        <f>100*F4</f>
        <v>0</v>
      </c>
      <c r="F16" s="33">
        <f>100*F4</f>
        <v>0</v>
      </c>
      <c r="G16" s="33">
        <f>100*F4</f>
        <v>0</v>
      </c>
      <c r="H16" s="33">
        <f>100*F4</f>
        <v>0</v>
      </c>
      <c r="I16" s="33">
        <f>100*F4</f>
        <v>0</v>
      </c>
      <c r="J16" s="38"/>
      <c r="K16" s="38"/>
    </row>
    <row r="17" spans="1:11" x14ac:dyDescent="0.2">
      <c r="A17" s="17" t="s">
        <v>44</v>
      </c>
      <c r="B17" s="32"/>
      <c r="C17" s="33">
        <f>B17*14.95</f>
        <v>0</v>
      </c>
      <c r="D17" s="33">
        <f>B17*14.95</f>
        <v>0</v>
      </c>
      <c r="E17" s="33">
        <f>B17*14.95</f>
        <v>0</v>
      </c>
      <c r="F17" s="33">
        <f>B17*14.95</f>
        <v>0</v>
      </c>
      <c r="G17" s="33">
        <f>B17*14.95</f>
        <v>0</v>
      </c>
      <c r="H17" s="33">
        <f>B17*14.95</f>
        <v>0</v>
      </c>
      <c r="I17" s="33">
        <f>B17*14.95</f>
        <v>0</v>
      </c>
      <c r="J17" s="38"/>
      <c r="K17" s="38"/>
    </row>
    <row r="18" spans="1:11" x14ac:dyDescent="0.2">
      <c r="A18" s="31" t="s">
        <v>34</v>
      </c>
      <c r="B18" s="32"/>
      <c r="C18" s="33">
        <f>B18*22</f>
        <v>0</v>
      </c>
      <c r="D18" s="33">
        <f>B18*22</f>
        <v>0</v>
      </c>
      <c r="E18" s="33">
        <f>B18*22</f>
        <v>0</v>
      </c>
      <c r="F18" s="33">
        <f>B18*22</f>
        <v>0</v>
      </c>
      <c r="G18" s="33">
        <f>B18*22</f>
        <v>0</v>
      </c>
      <c r="H18" s="33">
        <f>B18*22</f>
        <v>0</v>
      </c>
      <c r="I18" s="33">
        <f>B18*22</f>
        <v>0</v>
      </c>
      <c r="J18" s="38"/>
      <c r="K18" s="38"/>
    </row>
    <row r="19" spans="1:11" x14ac:dyDescent="0.2">
      <c r="A19" s="17" t="s">
        <v>16</v>
      </c>
      <c r="B19" s="32"/>
      <c r="C19" s="33">
        <f>(B19*30)*5</f>
        <v>0</v>
      </c>
      <c r="D19" s="33">
        <f>(B19*30)*6</f>
        <v>0</v>
      </c>
      <c r="E19" s="33">
        <f>(B19*30)*7</f>
        <v>0</v>
      </c>
      <c r="F19" s="33">
        <f>(B19*30)*8</f>
        <v>0</v>
      </c>
      <c r="G19" s="33">
        <f>(B19*30)*9</f>
        <v>0</v>
      </c>
      <c r="H19" s="33">
        <f>(B19*30)*10</f>
        <v>0</v>
      </c>
      <c r="I19" s="33">
        <f>(B19*30)*11</f>
        <v>0</v>
      </c>
      <c r="J19" s="38"/>
      <c r="K19" s="38"/>
    </row>
    <row r="20" spans="1:11" x14ac:dyDescent="0.2">
      <c r="A20" s="73" t="s">
        <v>28</v>
      </c>
      <c r="B20" s="7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38"/>
      <c r="K20" s="38"/>
    </row>
    <row r="21" spans="1:11" x14ac:dyDescent="0.2">
      <c r="A21" s="73" t="s">
        <v>7</v>
      </c>
      <c r="B21" s="7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38"/>
      <c r="K21" s="38"/>
    </row>
    <row r="22" spans="1:11" x14ac:dyDescent="0.2">
      <c r="A22" s="79" t="s">
        <v>50</v>
      </c>
      <c r="B22" s="80"/>
      <c r="C22" s="16">
        <f>SUM(C11:C21)+C7</f>
        <v>0</v>
      </c>
      <c r="D22" s="16">
        <f>SUM(D11:D21)+D7</f>
        <v>0</v>
      </c>
      <c r="E22" s="16">
        <f t="shared" ref="E22:G22" si="0">SUM(E11:E21)+E7</f>
        <v>0</v>
      </c>
      <c r="F22" s="16">
        <f t="shared" si="0"/>
        <v>0</v>
      </c>
      <c r="G22" s="16">
        <f t="shared" si="0"/>
        <v>0</v>
      </c>
      <c r="H22" s="16">
        <f t="shared" ref="H22:I22" si="1">SUM(H11:H21)+H7</f>
        <v>0</v>
      </c>
      <c r="I22" s="16">
        <f t="shared" si="1"/>
        <v>0</v>
      </c>
      <c r="J22" s="38"/>
      <c r="K22" s="38"/>
    </row>
    <row r="23" spans="1:11" x14ac:dyDescent="0.2">
      <c r="A23" s="79" t="s">
        <v>51</v>
      </c>
      <c r="B23" s="80"/>
      <c r="C23" s="16">
        <f>SUM(C11:C21)+C8</f>
        <v>0</v>
      </c>
      <c r="D23" s="16">
        <f>SUM(D11:D21)+D8</f>
        <v>0</v>
      </c>
      <c r="E23" s="16">
        <f>SUM(E11:E21)+E8</f>
        <v>0</v>
      </c>
      <c r="F23" s="16">
        <f>SUM(F11:F21)+F8</f>
        <v>0</v>
      </c>
      <c r="G23" s="16">
        <f>SUM(G11:G21)+G8</f>
        <v>0</v>
      </c>
      <c r="H23" s="16">
        <f t="shared" ref="H23:I23" si="2">SUM(H11:H21)+H8</f>
        <v>0</v>
      </c>
      <c r="I23" s="16">
        <f t="shared" si="2"/>
        <v>0</v>
      </c>
      <c r="J23" s="38"/>
      <c r="K23" s="38"/>
    </row>
    <row r="24" spans="1:11" x14ac:dyDescent="0.2">
      <c r="A24" s="86" t="s">
        <v>96</v>
      </c>
      <c r="B24" s="86"/>
      <c r="C24" s="42">
        <f>SUM(C11:C21)+C9</f>
        <v>0</v>
      </c>
      <c r="D24" s="42" t="s">
        <v>53</v>
      </c>
      <c r="E24" s="42" t="s">
        <v>53</v>
      </c>
      <c r="F24" s="42" t="s">
        <v>53</v>
      </c>
      <c r="G24" s="42" t="s">
        <v>53</v>
      </c>
      <c r="H24" s="42" t="s">
        <v>53</v>
      </c>
      <c r="I24" s="42" t="s">
        <v>53</v>
      </c>
      <c r="J24" s="38"/>
      <c r="K24" s="38"/>
    </row>
    <row r="25" spans="1:11" ht="3" customHeight="1" x14ac:dyDescent="0.2">
      <c r="A25" s="21"/>
      <c r="B25" s="21"/>
      <c r="C25" s="21"/>
      <c r="D25" s="13"/>
      <c r="E25" s="13"/>
      <c r="F25" s="13"/>
      <c r="G25" s="13"/>
      <c r="H25" s="13"/>
      <c r="I25" s="13"/>
      <c r="J25" s="38"/>
      <c r="K25" s="38"/>
    </row>
    <row r="26" spans="1:11" ht="3" customHeight="1" x14ac:dyDescent="0.2">
      <c r="A26" s="21"/>
      <c r="B26" s="21"/>
      <c r="C26" s="21"/>
      <c r="D26" s="13"/>
      <c r="E26" s="13"/>
      <c r="F26" s="13"/>
      <c r="G26" s="13"/>
      <c r="H26" s="13"/>
      <c r="I26" s="13"/>
      <c r="J26" s="38"/>
      <c r="K26" s="38"/>
    </row>
    <row r="27" spans="1:11" x14ac:dyDescent="0.2">
      <c r="A27" s="45" t="s">
        <v>0</v>
      </c>
      <c r="B27" s="45"/>
      <c r="C27" s="46" t="s">
        <v>85</v>
      </c>
      <c r="D27" s="39" t="s">
        <v>86</v>
      </c>
      <c r="E27" s="39" t="s">
        <v>87</v>
      </c>
      <c r="F27" s="39" t="s">
        <v>88</v>
      </c>
      <c r="G27" s="39" t="s">
        <v>89</v>
      </c>
      <c r="H27" s="39" t="s">
        <v>94</v>
      </c>
      <c r="I27" s="39" t="s">
        <v>95</v>
      </c>
      <c r="J27" s="38"/>
      <c r="K27" s="38"/>
    </row>
    <row r="28" spans="1:11" x14ac:dyDescent="0.2">
      <c r="A28" s="73" t="s">
        <v>79</v>
      </c>
      <c r="B28" s="74"/>
      <c r="C28" s="18">
        <f>($E$2*665)*6</f>
        <v>0</v>
      </c>
      <c r="D28" s="18">
        <f>($E$2*665)*7</f>
        <v>0</v>
      </c>
      <c r="E28" s="18">
        <f>($E$2*665)*8</f>
        <v>0</v>
      </c>
      <c r="F28" s="18">
        <f>($E$2*665)*9</f>
        <v>0</v>
      </c>
      <c r="G28" s="18">
        <f>($E$2*665)*10</f>
        <v>0</v>
      </c>
      <c r="H28" s="18">
        <f>($E$2*665)*11</f>
        <v>0</v>
      </c>
      <c r="I28" s="18">
        <f>($E$2*665)*12</f>
        <v>0</v>
      </c>
      <c r="J28" s="38"/>
      <c r="K28" s="38"/>
    </row>
    <row r="29" spans="1:11" x14ac:dyDescent="0.2">
      <c r="A29" s="82" t="s">
        <v>45</v>
      </c>
      <c r="B29" s="83"/>
      <c r="C29" s="35">
        <f>((15*$E$4)*4)*$I$2</f>
        <v>0</v>
      </c>
      <c r="D29" s="35">
        <f>((15*$E$4)*5)*$I$2</f>
        <v>0</v>
      </c>
      <c r="E29" s="35">
        <f>((15*$E$4)*6)*$I$2</f>
        <v>0</v>
      </c>
      <c r="F29" s="35">
        <f>((15*$E$4)*7)*$I$2</f>
        <v>0</v>
      </c>
      <c r="G29" s="35">
        <f>((15*$E$4)*8)*$I$2</f>
        <v>0</v>
      </c>
      <c r="H29" s="35">
        <f>((15*$E$4)*9)*$I$2</f>
        <v>0</v>
      </c>
      <c r="I29" s="35">
        <f>((15*$E$4)*10)*$I$2</f>
        <v>0</v>
      </c>
      <c r="J29" s="38"/>
      <c r="K29" s="38"/>
    </row>
    <row r="30" spans="1:11" x14ac:dyDescent="0.2">
      <c r="A30" s="82" t="s">
        <v>46</v>
      </c>
      <c r="B30" s="83"/>
      <c r="C30" s="35">
        <f>((15*4)*$E$2)*$I$2</f>
        <v>0</v>
      </c>
      <c r="D30" s="35">
        <f>((15*5)*$E$2)*$I$2</f>
        <v>0</v>
      </c>
      <c r="E30" s="35">
        <f>((15*6)*$E$2)*$I$2</f>
        <v>0</v>
      </c>
      <c r="F30" s="35">
        <f>((15*7)*$E$2)*$I$2</f>
        <v>0</v>
      </c>
      <c r="G30" s="35">
        <f>((15*8)*$E$2)*$I$2</f>
        <v>0</v>
      </c>
      <c r="H30" s="35">
        <f>((15*9)*$E$2)*$I$2</f>
        <v>0</v>
      </c>
      <c r="I30" s="35">
        <f>((15*10)*$E$2)*$I$2</f>
        <v>0</v>
      </c>
      <c r="J30" s="38"/>
      <c r="K30" s="38"/>
    </row>
    <row r="31" spans="1:11" x14ac:dyDescent="0.2">
      <c r="A31" s="82" t="s">
        <v>47</v>
      </c>
      <c r="B31" s="83"/>
      <c r="C31" s="35">
        <f>(($D$4*6.5)*4)*$I$2</f>
        <v>0</v>
      </c>
      <c r="D31" s="35">
        <f>(($D$4*6.5)*5)*$I$2</f>
        <v>0</v>
      </c>
      <c r="E31" s="35">
        <f>(($D$4*6.5)*6)*$I$2</f>
        <v>0</v>
      </c>
      <c r="F31" s="35">
        <f>(($D$4*6.5)*7)*$I$2</f>
        <v>0</v>
      </c>
      <c r="G31" s="35">
        <f>(($D$4*6.5)*8)*$I$2</f>
        <v>0</v>
      </c>
      <c r="H31" s="35">
        <f>(($D$4*6.5)*9)*$I$2</f>
        <v>0</v>
      </c>
      <c r="I31" s="35">
        <f>(($D$4*6.5)*10)*$I$2</f>
        <v>0</v>
      </c>
      <c r="J31" s="38"/>
      <c r="K31" s="38"/>
    </row>
    <row r="32" spans="1:11" x14ac:dyDescent="0.2">
      <c r="A32" s="79" t="s">
        <v>12</v>
      </c>
      <c r="B32" s="80"/>
      <c r="C32" s="24">
        <f t="shared" ref="C32:I32" si="3">SUM(C28:C31)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0</v>
      </c>
      <c r="J32" s="38"/>
      <c r="K32" s="38"/>
    </row>
    <row r="33" spans="1:11" x14ac:dyDescent="0.2">
      <c r="A33" s="41" t="s">
        <v>1</v>
      </c>
      <c r="B33" s="41"/>
      <c r="C33" s="43"/>
      <c r="D33" s="44"/>
      <c r="E33" s="44"/>
      <c r="F33" s="44"/>
      <c r="G33" s="44"/>
      <c r="H33" s="44"/>
      <c r="I33" s="44"/>
      <c r="J33" s="38"/>
      <c r="K33" s="38"/>
    </row>
    <row r="34" spans="1:11" x14ac:dyDescent="0.2">
      <c r="A34" s="17" t="s">
        <v>38</v>
      </c>
      <c r="B34" s="32"/>
      <c r="C34" s="33">
        <f>B34*5</f>
        <v>0</v>
      </c>
      <c r="D34" s="33">
        <f>B34*5</f>
        <v>0</v>
      </c>
      <c r="E34" s="33">
        <f>B34*5</f>
        <v>0</v>
      </c>
      <c r="F34" s="33">
        <f>B34*5</f>
        <v>0</v>
      </c>
      <c r="G34" s="33">
        <f>B34*5</f>
        <v>0</v>
      </c>
      <c r="H34" s="33">
        <f>B34*5</f>
        <v>0</v>
      </c>
      <c r="I34" s="33">
        <f>B34*5</f>
        <v>0</v>
      </c>
      <c r="J34" s="38"/>
      <c r="K34" s="38"/>
    </row>
    <row r="35" spans="1:11" x14ac:dyDescent="0.2">
      <c r="A35" s="17" t="s">
        <v>39</v>
      </c>
      <c r="B35" s="32"/>
      <c r="C35" s="33">
        <f>B35*10</f>
        <v>0</v>
      </c>
      <c r="D35" s="33">
        <f>B35*10</f>
        <v>0</v>
      </c>
      <c r="E35" s="33">
        <f>B35*10</f>
        <v>0</v>
      </c>
      <c r="F35" s="33">
        <f>B35*10</f>
        <v>0</v>
      </c>
      <c r="G35" s="33">
        <f>B35*10</f>
        <v>0</v>
      </c>
      <c r="H35" s="33">
        <f>B35*10</f>
        <v>0</v>
      </c>
      <c r="I35" s="33">
        <f>B35*10</f>
        <v>0</v>
      </c>
      <c r="J35" s="38"/>
      <c r="K35" s="38"/>
    </row>
    <row r="36" spans="1:11" x14ac:dyDescent="0.2">
      <c r="A36" s="73" t="s">
        <v>3</v>
      </c>
      <c r="B36" s="7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38"/>
      <c r="K36" s="38"/>
    </row>
    <row r="37" spans="1:11" x14ac:dyDescent="0.2">
      <c r="A37" s="73" t="s">
        <v>31</v>
      </c>
      <c r="B37" s="74"/>
      <c r="C37" s="33">
        <f>100*F4</f>
        <v>0</v>
      </c>
      <c r="D37" s="33">
        <f>100*F4</f>
        <v>0</v>
      </c>
      <c r="E37" s="33">
        <f>100*F4</f>
        <v>0</v>
      </c>
      <c r="F37" s="33">
        <f>100*F4</f>
        <v>0</v>
      </c>
      <c r="G37" s="33">
        <f>100*F4</f>
        <v>0</v>
      </c>
      <c r="H37" s="33">
        <f>100*F4</f>
        <v>0</v>
      </c>
      <c r="I37" s="33">
        <f>100*F4</f>
        <v>0</v>
      </c>
      <c r="J37" s="38"/>
      <c r="K37" s="38"/>
    </row>
    <row r="38" spans="1:11" x14ac:dyDescent="0.2">
      <c r="A38" s="17" t="s">
        <v>44</v>
      </c>
      <c r="B38" s="32"/>
      <c r="C38" s="33">
        <f>B38*14.95</f>
        <v>0</v>
      </c>
      <c r="D38" s="33">
        <f>B38*14.95</f>
        <v>0</v>
      </c>
      <c r="E38" s="33">
        <f>B38*14.95</f>
        <v>0</v>
      </c>
      <c r="F38" s="33">
        <f>B38*14.95</f>
        <v>0</v>
      </c>
      <c r="G38" s="33">
        <f>B38*14.95</f>
        <v>0</v>
      </c>
      <c r="H38" s="33">
        <f>B38*14.95</f>
        <v>0</v>
      </c>
      <c r="I38" s="33">
        <f>B38*14.95</f>
        <v>0</v>
      </c>
      <c r="J38" s="38"/>
      <c r="K38" s="38"/>
    </row>
    <row r="39" spans="1:11" x14ac:dyDescent="0.2">
      <c r="A39" s="31" t="s">
        <v>34</v>
      </c>
      <c r="B39" s="32"/>
      <c r="C39" s="33">
        <f>B39*22</f>
        <v>0</v>
      </c>
      <c r="D39" s="33">
        <f>B39*22</f>
        <v>0</v>
      </c>
      <c r="E39" s="33">
        <f>B39*22</f>
        <v>0</v>
      </c>
      <c r="F39" s="33">
        <f>B39*22</f>
        <v>0</v>
      </c>
      <c r="G39" s="33">
        <f>B39*22</f>
        <v>0</v>
      </c>
      <c r="H39" s="33">
        <f>B39*22</f>
        <v>0</v>
      </c>
      <c r="I39" s="33">
        <f>B39*22</f>
        <v>0</v>
      </c>
      <c r="J39" s="38"/>
      <c r="K39" s="38"/>
    </row>
    <row r="40" spans="1:11" x14ac:dyDescent="0.2">
      <c r="A40" s="73" t="s">
        <v>2</v>
      </c>
      <c r="B40" s="74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38"/>
      <c r="K40" s="38"/>
    </row>
    <row r="41" spans="1:11" x14ac:dyDescent="0.2">
      <c r="A41" s="17" t="s">
        <v>16</v>
      </c>
      <c r="B41" s="32"/>
      <c r="C41" s="33">
        <f>(B41*30)*5</f>
        <v>0</v>
      </c>
      <c r="D41" s="33">
        <f>(B41*30)*6</f>
        <v>0</v>
      </c>
      <c r="E41" s="33">
        <f>(B41*30)*7</f>
        <v>0</v>
      </c>
      <c r="F41" s="33">
        <f>(B41*30)*8</f>
        <v>0</v>
      </c>
      <c r="G41" s="33">
        <f>(B41*30)*9</f>
        <v>0</v>
      </c>
      <c r="H41" s="33">
        <f>(B41*30)*10</f>
        <v>0</v>
      </c>
      <c r="I41" s="33">
        <f>(B41*30)*11</f>
        <v>0</v>
      </c>
      <c r="J41" s="38"/>
      <c r="K41" s="38"/>
    </row>
    <row r="42" spans="1:11" x14ac:dyDescent="0.2">
      <c r="A42" s="73" t="s">
        <v>4</v>
      </c>
      <c r="B42" s="74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38"/>
      <c r="K42" s="38"/>
    </row>
    <row r="43" spans="1:11" x14ac:dyDescent="0.2">
      <c r="A43" s="73" t="s">
        <v>28</v>
      </c>
      <c r="B43" s="74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38"/>
      <c r="K43" s="38"/>
    </row>
    <row r="44" spans="1:11" x14ac:dyDescent="0.2">
      <c r="A44" s="84" t="s">
        <v>54</v>
      </c>
      <c r="B44" s="85"/>
      <c r="C44" s="42">
        <f t="shared" ref="C44:I44" si="4">SUM(C28:C43)-C32</f>
        <v>0</v>
      </c>
      <c r="D44" s="42">
        <f t="shared" si="4"/>
        <v>0</v>
      </c>
      <c r="E44" s="42">
        <f t="shared" si="4"/>
        <v>0</v>
      </c>
      <c r="F44" s="42">
        <f t="shared" si="4"/>
        <v>0</v>
      </c>
      <c r="G44" s="42">
        <f t="shared" si="4"/>
        <v>0</v>
      </c>
      <c r="H44" s="42">
        <f t="shared" si="4"/>
        <v>0</v>
      </c>
      <c r="I44" s="42">
        <f t="shared" si="4"/>
        <v>0</v>
      </c>
      <c r="J44" s="38"/>
      <c r="K44" s="38"/>
    </row>
    <row r="45" spans="1:11" ht="3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38"/>
      <c r="K45" s="38"/>
    </row>
    <row r="46" spans="1:11" ht="11.25" customHeight="1" x14ac:dyDescent="0.2">
      <c r="A46" s="89"/>
      <c r="B46" s="89"/>
      <c r="C46" s="89"/>
      <c r="D46" s="89"/>
      <c r="E46" s="89"/>
      <c r="F46" s="89"/>
      <c r="G46" s="89"/>
      <c r="H46" s="38"/>
      <c r="I46" s="38"/>
      <c r="J46" s="38"/>
      <c r="K46" s="38"/>
    </row>
    <row r="47" spans="1:11" ht="11.25" customHeight="1" x14ac:dyDescent="0.2">
      <c r="A47" s="41" t="s">
        <v>91</v>
      </c>
      <c r="B47" s="41"/>
      <c r="C47" s="38"/>
      <c r="D47" s="38"/>
      <c r="E47" s="38"/>
      <c r="F47" s="38"/>
      <c r="G47" s="38"/>
      <c r="H47" s="38"/>
      <c r="I47" s="38"/>
      <c r="J47" s="38"/>
      <c r="K47" s="38"/>
    </row>
    <row r="48" spans="1:11" x14ac:dyDescent="0.2">
      <c r="A48" s="38" t="s">
        <v>32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">
      <c r="I60" s="38"/>
      <c r="J60" s="38"/>
      <c r="K60" s="38"/>
    </row>
  </sheetData>
  <sheetProtection selectLockedCells="1"/>
  <mergeCells count="26">
    <mergeCell ref="A7:B7"/>
    <mergeCell ref="A6:B6"/>
    <mergeCell ref="A46:G46"/>
    <mergeCell ref="A22:B22"/>
    <mergeCell ref="A21:B21"/>
    <mergeCell ref="A20:B20"/>
    <mergeCell ref="A16:B16"/>
    <mergeCell ref="A15:B15"/>
    <mergeCell ref="A36:B36"/>
    <mergeCell ref="A32:B32"/>
    <mergeCell ref="A31:B31"/>
    <mergeCell ref="A30:B30"/>
    <mergeCell ref="A14:B14"/>
    <mergeCell ref="A13:B13"/>
    <mergeCell ref="A9:B9"/>
    <mergeCell ref="A8:B8"/>
    <mergeCell ref="A44:B44"/>
    <mergeCell ref="A43:B43"/>
    <mergeCell ref="A42:B42"/>
    <mergeCell ref="A40:B40"/>
    <mergeCell ref="A37:B37"/>
    <mergeCell ref="A23:B23"/>
    <mergeCell ref="A24:B24"/>
    <mergeCell ref="A29:B29"/>
    <mergeCell ref="A28:B28"/>
    <mergeCell ref="A10:I10"/>
  </mergeCells>
  <phoneticPr fontId="0" type="noConversion"/>
  <pageMargins left="0.75" right="0.75" top="1" bottom="1" header="0.5" footer="0.5"/>
  <pageSetup scale="9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L20" sqref="L20"/>
    </sheetView>
  </sheetViews>
  <sheetFormatPr defaultRowHeight="11.25" x14ac:dyDescent="0.2"/>
  <cols>
    <col min="1" max="1" width="46.7109375" style="7" customWidth="1"/>
    <col min="2" max="2" width="4.140625" style="7" customWidth="1"/>
    <col min="3" max="6" width="9.28515625" style="7" bestFit="1" customWidth="1"/>
    <col min="7" max="7" width="11.42578125" style="7" bestFit="1" customWidth="1"/>
    <col min="8" max="16384" width="9.140625" style="7"/>
  </cols>
  <sheetData>
    <row r="1" spans="1:11" ht="12" thickBot="1" x14ac:dyDescent="0.25">
      <c r="A1" s="37" t="s">
        <v>90</v>
      </c>
      <c r="B1" s="37"/>
      <c r="C1" s="38"/>
      <c r="D1" s="39" t="s">
        <v>14</v>
      </c>
      <c r="E1" s="38"/>
      <c r="F1" s="38"/>
      <c r="G1" s="38"/>
      <c r="H1" s="38"/>
      <c r="I1" s="38"/>
      <c r="J1" s="38"/>
      <c r="K1" s="38"/>
    </row>
    <row r="2" spans="1:11" ht="12" thickBot="1" x14ac:dyDescent="0.25">
      <c r="A2" s="37" t="s">
        <v>25</v>
      </c>
      <c r="B2" s="37"/>
      <c r="C2" s="38"/>
      <c r="D2" s="3"/>
      <c r="E2" s="38"/>
      <c r="F2" s="38"/>
      <c r="G2" s="38" t="s">
        <v>22</v>
      </c>
      <c r="H2" s="9">
        <v>1.0900000000000001</v>
      </c>
      <c r="I2" s="38" t="s">
        <v>48</v>
      </c>
      <c r="J2" s="38"/>
      <c r="K2" s="38"/>
    </row>
    <row r="3" spans="1:11" ht="12" thickBot="1" x14ac:dyDescent="0.25">
      <c r="A3" s="38" t="s">
        <v>33</v>
      </c>
      <c r="B3" s="37"/>
      <c r="C3" s="39" t="s">
        <v>9</v>
      </c>
      <c r="D3" s="39" t="s">
        <v>10</v>
      </c>
      <c r="E3" s="39" t="s">
        <v>11</v>
      </c>
      <c r="F3" s="38"/>
      <c r="G3" s="38"/>
      <c r="H3" s="38"/>
      <c r="I3" s="38"/>
      <c r="J3" s="38"/>
      <c r="K3" s="38"/>
    </row>
    <row r="4" spans="1:11" ht="12" thickBot="1" x14ac:dyDescent="0.25">
      <c r="A4" s="37" t="s">
        <v>5</v>
      </c>
      <c r="B4" s="37"/>
      <c r="C4" s="1"/>
      <c r="D4" s="1"/>
      <c r="E4" s="10">
        <f>C4+D4</f>
        <v>0</v>
      </c>
      <c r="F4" s="40"/>
      <c r="G4" s="38"/>
      <c r="H4" s="38"/>
      <c r="I4" s="38"/>
      <c r="J4" s="38"/>
      <c r="K4" s="38"/>
    </row>
    <row r="5" spans="1:11" ht="3" customHeight="1" x14ac:dyDescent="0.2">
      <c r="A5" s="12"/>
      <c r="B5" s="12"/>
      <c r="C5" s="13"/>
      <c r="D5" s="14"/>
      <c r="E5" s="14"/>
      <c r="F5" s="14"/>
      <c r="G5" s="38"/>
      <c r="H5" s="38"/>
      <c r="I5" s="38"/>
      <c r="J5" s="38"/>
      <c r="K5" s="38"/>
    </row>
    <row r="6" spans="1:11" x14ac:dyDescent="0.2">
      <c r="A6" s="79" t="s">
        <v>26</v>
      </c>
      <c r="B6" s="80"/>
      <c r="C6" s="16" t="s">
        <v>86</v>
      </c>
      <c r="D6" s="16" t="s">
        <v>87</v>
      </c>
      <c r="E6" s="16" t="s">
        <v>88</v>
      </c>
      <c r="F6" s="16" t="s">
        <v>89</v>
      </c>
      <c r="G6" s="16" t="s">
        <v>94</v>
      </c>
      <c r="H6" s="16" t="s">
        <v>95</v>
      </c>
      <c r="I6" s="38"/>
      <c r="J6" s="38"/>
      <c r="K6" s="38"/>
    </row>
    <row r="7" spans="1:11" x14ac:dyDescent="0.2">
      <c r="A7" s="73" t="s">
        <v>77</v>
      </c>
      <c r="B7" s="74"/>
      <c r="C7" s="18">
        <f>($D$2*665)*7</f>
        <v>0</v>
      </c>
      <c r="D7" s="18">
        <f>($D$2*665)*8</f>
        <v>0</v>
      </c>
      <c r="E7" s="18">
        <f>($D$2*665)*9</f>
        <v>0</v>
      </c>
      <c r="F7" s="18">
        <f>($D$2*665)*10</f>
        <v>0</v>
      </c>
      <c r="G7" s="18">
        <f>($D$2*665)*11</f>
        <v>0</v>
      </c>
      <c r="H7" s="18">
        <f>($D$2*665)*12</f>
        <v>0</v>
      </c>
      <c r="I7" s="38"/>
      <c r="J7" s="38"/>
      <c r="K7" s="38"/>
    </row>
    <row r="8" spans="1:11" x14ac:dyDescent="0.2">
      <c r="A8" s="73" t="s">
        <v>78</v>
      </c>
      <c r="B8" s="74"/>
      <c r="C8" s="18">
        <f>($D$2*915)*7</f>
        <v>0</v>
      </c>
      <c r="D8" s="18">
        <f>($D$2*915)*8</f>
        <v>0</v>
      </c>
      <c r="E8" s="18">
        <f>($D$2*915)*9</f>
        <v>0</v>
      </c>
      <c r="F8" s="18">
        <f>($D$2*915)*10</f>
        <v>0</v>
      </c>
      <c r="G8" s="18">
        <f>($D$2*915)*11</f>
        <v>0</v>
      </c>
      <c r="H8" s="18">
        <f>($D$2*915)*12</f>
        <v>0</v>
      </c>
      <c r="I8" s="38"/>
      <c r="J8" s="38"/>
      <c r="K8" s="38"/>
    </row>
    <row r="9" spans="1:11" x14ac:dyDescent="0.2">
      <c r="A9" s="79" t="s">
        <v>27</v>
      </c>
      <c r="B9" s="80"/>
      <c r="C9" s="18">
        <f>E4*250</f>
        <v>0</v>
      </c>
      <c r="D9" s="18">
        <f>E4*250</f>
        <v>0</v>
      </c>
      <c r="E9" s="18">
        <f>E4*250</f>
        <v>0</v>
      </c>
      <c r="F9" s="18">
        <f>E4*250</f>
        <v>0</v>
      </c>
      <c r="G9" s="18">
        <f>E4*250</f>
        <v>0</v>
      </c>
      <c r="H9" s="18">
        <f>E4*250</f>
        <v>0</v>
      </c>
      <c r="I9" s="38"/>
      <c r="J9" s="38"/>
      <c r="K9" s="38"/>
    </row>
    <row r="10" spans="1:11" x14ac:dyDescent="0.2">
      <c r="A10" s="41" t="s">
        <v>1</v>
      </c>
      <c r="B10" s="41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17" t="s">
        <v>38</v>
      </c>
      <c r="B11" s="32"/>
      <c r="C11" s="33">
        <f>B11*5</f>
        <v>0</v>
      </c>
      <c r="D11" s="33">
        <f>B11*5</f>
        <v>0</v>
      </c>
      <c r="E11" s="33">
        <f>B11*5</f>
        <v>0</v>
      </c>
      <c r="F11" s="33">
        <f>B11*5</f>
        <v>0</v>
      </c>
      <c r="G11" s="33">
        <f>B11*5</f>
        <v>0</v>
      </c>
      <c r="H11" s="33">
        <f>B11*5</f>
        <v>0</v>
      </c>
      <c r="I11" s="38"/>
      <c r="J11" s="38"/>
      <c r="K11" s="38"/>
    </row>
    <row r="12" spans="1:11" x14ac:dyDescent="0.2">
      <c r="A12" s="17" t="s">
        <v>39</v>
      </c>
      <c r="B12" s="32"/>
      <c r="C12" s="33">
        <f>B12*10</f>
        <v>0</v>
      </c>
      <c r="D12" s="33">
        <f>B12*10</f>
        <v>0</v>
      </c>
      <c r="E12" s="33">
        <f>B12*10</f>
        <v>0</v>
      </c>
      <c r="F12" s="33">
        <f>B12*10</f>
        <v>0</v>
      </c>
      <c r="G12" s="33">
        <f>B12*10</f>
        <v>0</v>
      </c>
      <c r="H12" s="33">
        <f>B12*10</f>
        <v>0</v>
      </c>
      <c r="I12" s="38"/>
      <c r="J12" s="38"/>
      <c r="K12" s="38"/>
    </row>
    <row r="13" spans="1:11" x14ac:dyDescent="0.2">
      <c r="A13" s="73" t="s">
        <v>2</v>
      </c>
      <c r="B13" s="74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38"/>
      <c r="J13" s="38"/>
      <c r="K13" s="38"/>
    </row>
    <row r="14" spans="1:11" x14ac:dyDescent="0.2">
      <c r="A14" s="73" t="s">
        <v>4</v>
      </c>
      <c r="B14" s="74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38"/>
      <c r="J14" s="38"/>
      <c r="K14" s="38"/>
    </row>
    <row r="15" spans="1:11" x14ac:dyDescent="0.2">
      <c r="A15" s="73" t="s">
        <v>8</v>
      </c>
      <c r="B15" s="74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38"/>
      <c r="J15" s="38"/>
      <c r="K15" s="38"/>
    </row>
    <row r="16" spans="1:11" x14ac:dyDescent="0.2">
      <c r="A16" s="73" t="s">
        <v>40</v>
      </c>
      <c r="B16" s="74"/>
      <c r="C16" s="33">
        <f>100*E4</f>
        <v>0</v>
      </c>
      <c r="D16" s="33">
        <f>100*E4</f>
        <v>0</v>
      </c>
      <c r="E16" s="33">
        <f>100*E4</f>
        <v>0</v>
      </c>
      <c r="F16" s="33">
        <f>100*E4</f>
        <v>0</v>
      </c>
      <c r="G16" s="33">
        <f>100*E4</f>
        <v>0</v>
      </c>
      <c r="H16" s="33">
        <f>100*E4</f>
        <v>0</v>
      </c>
      <c r="I16" s="38"/>
      <c r="J16" s="38"/>
      <c r="K16" s="38"/>
    </row>
    <row r="17" spans="1:11" x14ac:dyDescent="0.2">
      <c r="A17" s="17" t="s">
        <v>44</v>
      </c>
      <c r="B17" s="32"/>
      <c r="C17" s="33">
        <f>B17*14.95</f>
        <v>0</v>
      </c>
      <c r="D17" s="33">
        <f>B17*14.95</f>
        <v>0</v>
      </c>
      <c r="E17" s="33">
        <f>B17*14.95</f>
        <v>0</v>
      </c>
      <c r="F17" s="33">
        <f>B17*14.95</f>
        <v>0</v>
      </c>
      <c r="G17" s="33">
        <f>B17*14.95</f>
        <v>0</v>
      </c>
      <c r="H17" s="33">
        <f>B17*14.95</f>
        <v>0</v>
      </c>
      <c r="I17" s="38"/>
      <c r="J17" s="38"/>
      <c r="K17" s="38"/>
    </row>
    <row r="18" spans="1:11" x14ac:dyDescent="0.2">
      <c r="A18" s="17" t="s">
        <v>35</v>
      </c>
      <c r="B18" s="36"/>
      <c r="C18" s="33">
        <f>B18*22</f>
        <v>0</v>
      </c>
      <c r="D18" s="33">
        <f>B18*22</f>
        <v>0</v>
      </c>
      <c r="E18" s="33">
        <f>B18*22</f>
        <v>0</v>
      </c>
      <c r="F18" s="33">
        <f>B18*22</f>
        <v>0</v>
      </c>
      <c r="G18" s="33">
        <f>B18*22</f>
        <v>0</v>
      </c>
      <c r="H18" s="33">
        <f>B18*22</f>
        <v>0</v>
      </c>
      <c r="I18" s="38"/>
      <c r="J18" s="38"/>
      <c r="K18" s="38"/>
    </row>
    <row r="19" spans="1:11" x14ac:dyDescent="0.2">
      <c r="A19" s="73" t="s">
        <v>30</v>
      </c>
      <c r="B19" s="7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38"/>
      <c r="J19" s="38"/>
      <c r="K19" s="38"/>
    </row>
    <row r="20" spans="1:11" x14ac:dyDescent="0.2">
      <c r="A20" s="73" t="s">
        <v>7</v>
      </c>
      <c r="B20" s="7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38"/>
      <c r="J20" s="38"/>
      <c r="K20" s="38"/>
    </row>
    <row r="21" spans="1:11" x14ac:dyDescent="0.2">
      <c r="A21" s="79" t="s">
        <v>59</v>
      </c>
      <c r="B21" s="80"/>
      <c r="C21" s="16">
        <f>SUM(C9:C20)+C7</f>
        <v>0</v>
      </c>
      <c r="D21" s="16">
        <f t="shared" ref="D21:E21" si="0">SUM(D9:D20)+D7</f>
        <v>0</v>
      </c>
      <c r="E21" s="16">
        <f t="shared" si="0"/>
        <v>0</v>
      </c>
      <c r="F21" s="16">
        <f>SUM(F9:F20)+F7</f>
        <v>0</v>
      </c>
      <c r="G21" s="16">
        <f t="shared" ref="G21:H21" si="1">SUM(G9:G20)+G7</f>
        <v>0</v>
      </c>
      <c r="H21" s="16">
        <f t="shared" si="1"/>
        <v>0</v>
      </c>
      <c r="I21" s="38"/>
      <c r="J21" s="38"/>
      <c r="K21" s="38"/>
    </row>
    <row r="22" spans="1:11" x14ac:dyDescent="0.2">
      <c r="A22" s="79" t="s">
        <v>60</v>
      </c>
      <c r="B22" s="80"/>
      <c r="C22" s="16">
        <f>SUM(C8:C20)</f>
        <v>0</v>
      </c>
      <c r="D22" s="16">
        <f t="shared" ref="D22:H22" si="2">SUM(D8:D20)</f>
        <v>0</v>
      </c>
      <c r="E22" s="16">
        <f t="shared" si="2"/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38"/>
      <c r="J22" s="38"/>
      <c r="K22" s="38"/>
    </row>
    <row r="23" spans="1:11" ht="8.25" customHeight="1" x14ac:dyDescent="0.2">
      <c r="A23" s="21"/>
      <c r="B23" s="21"/>
      <c r="C23" s="13"/>
      <c r="D23" s="13"/>
      <c r="E23" s="13"/>
      <c r="F23" s="13"/>
      <c r="G23" s="38"/>
      <c r="H23" s="38"/>
      <c r="I23" s="38"/>
      <c r="J23" s="38"/>
      <c r="K23" s="38"/>
    </row>
    <row r="24" spans="1:11" ht="11.25" customHeight="1" x14ac:dyDescent="0.2">
      <c r="A24" s="89"/>
      <c r="B24" s="89"/>
      <c r="C24" s="89"/>
      <c r="D24" s="89"/>
      <c r="E24" s="89"/>
      <c r="F24" s="89"/>
      <c r="G24" s="38"/>
      <c r="H24" s="38"/>
      <c r="I24" s="38"/>
      <c r="J24" s="38"/>
      <c r="K24" s="38"/>
    </row>
    <row r="25" spans="1:11" x14ac:dyDescent="0.2">
      <c r="A25" s="38" t="s">
        <v>32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</sheetData>
  <sheetProtection selectLockedCells="1"/>
  <mergeCells count="13">
    <mergeCell ref="A24:F24"/>
    <mergeCell ref="A20:B20"/>
    <mergeCell ref="A19:B19"/>
    <mergeCell ref="A16:B16"/>
    <mergeCell ref="A15:B15"/>
    <mergeCell ref="A8:B8"/>
    <mergeCell ref="A7:B7"/>
    <mergeCell ref="A6:B6"/>
    <mergeCell ref="A22:B22"/>
    <mergeCell ref="A13:B13"/>
    <mergeCell ref="A9:B9"/>
    <mergeCell ref="A21:B21"/>
    <mergeCell ref="A14:B14"/>
  </mergeCells>
  <pageMargins left="0.75" right="0.75" top="1" bottom="1" header="0.5" footer="0.5"/>
  <pageSetup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3" sqref="C3"/>
    </sheetView>
  </sheetViews>
  <sheetFormatPr defaultColWidth="8.5703125" defaultRowHeight="15" x14ac:dyDescent="0.25"/>
  <cols>
    <col min="1" max="1" width="31.7109375" style="48" bestFit="1" customWidth="1"/>
    <col min="2" max="2" width="10.140625" style="48" bestFit="1" customWidth="1"/>
    <col min="3" max="3" width="16.140625" style="48" bestFit="1" customWidth="1"/>
    <col min="4" max="4" width="24.5703125" style="48" bestFit="1" customWidth="1"/>
    <col min="5" max="5" width="11.85546875" style="48" bestFit="1" customWidth="1"/>
    <col min="6" max="6" width="11.85546875" style="48" customWidth="1"/>
    <col min="7" max="7" width="13.42578125" style="48" bestFit="1" customWidth="1"/>
    <col min="8" max="8" width="14" style="48" bestFit="1" customWidth="1"/>
    <col min="9" max="16384" width="8.5703125" style="48"/>
  </cols>
  <sheetData>
    <row r="1" spans="1:10" x14ac:dyDescent="0.25">
      <c r="A1" s="72" t="s">
        <v>93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thickBot="1" x14ac:dyDescent="0.3">
      <c r="A2" s="72" t="s">
        <v>61</v>
      </c>
      <c r="B2" s="62"/>
      <c r="C2" s="68" t="s">
        <v>14</v>
      </c>
      <c r="D2" s="68" t="s">
        <v>92</v>
      </c>
      <c r="E2" s="62"/>
      <c r="F2" s="62"/>
      <c r="G2" s="62"/>
      <c r="H2" s="62"/>
      <c r="I2" s="62"/>
      <c r="J2" s="62"/>
    </row>
    <row r="3" spans="1:10" ht="15.75" thickBot="1" x14ac:dyDescent="0.3">
      <c r="A3" s="62"/>
      <c r="B3" s="62"/>
      <c r="C3" s="49"/>
      <c r="D3" s="49"/>
      <c r="E3" s="62"/>
      <c r="F3" s="62"/>
      <c r="G3" s="62"/>
      <c r="H3" s="62"/>
      <c r="I3" s="62"/>
      <c r="J3" s="62"/>
    </row>
    <row r="4" spans="1:10" ht="15.75" thickBot="1" x14ac:dyDescent="0.3">
      <c r="A4" s="71" t="s">
        <v>5</v>
      </c>
      <c r="B4" s="62"/>
      <c r="C4" s="68" t="s">
        <v>9</v>
      </c>
      <c r="D4" s="68" t="s">
        <v>10</v>
      </c>
      <c r="E4" s="68" t="s">
        <v>11</v>
      </c>
      <c r="F4" s="68"/>
      <c r="G4" s="62"/>
      <c r="H4" s="62"/>
      <c r="I4" s="62"/>
      <c r="J4" s="62"/>
    </row>
    <row r="5" spans="1:10" ht="15.75" thickBot="1" x14ac:dyDescent="0.3">
      <c r="A5" s="62"/>
      <c r="B5" s="62"/>
      <c r="C5" s="50"/>
      <c r="D5" s="51"/>
      <c r="E5" s="69">
        <f>SUM(C5:D5)</f>
        <v>0</v>
      </c>
      <c r="F5" s="70"/>
      <c r="G5" s="62"/>
      <c r="H5" s="62"/>
      <c r="I5" s="62"/>
      <c r="J5" s="62"/>
    </row>
    <row r="6" spans="1:10" x14ac:dyDescent="0.25">
      <c r="A6" s="52" t="s">
        <v>62</v>
      </c>
      <c r="B6" s="53" t="s">
        <v>63</v>
      </c>
      <c r="C6" s="53" t="s">
        <v>64</v>
      </c>
      <c r="D6" s="54" t="s">
        <v>65</v>
      </c>
      <c r="E6" s="54" t="s">
        <v>66</v>
      </c>
      <c r="F6" s="55" t="s">
        <v>67</v>
      </c>
      <c r="G6" s="54" t="s">
        <v>68</v>
      </c>
      <c r="H6" s="54" t="s">
        <v>69</v>
      </c>
      <c r="I6" s="62"/>
      <c r="J6" s="62"/>
    </row>
    <row r="7" spans="1:10" x14ac:dyDescent="0.25">
      <c r="A7" s="56"/>
      <c r="B7" s="57">
        <f>IF(E5&lt;9,(C3*700)*D3,(C3*960)*D3)</f>
        <v>0</v>
      </c>
      <c r="C7" s="57">
        <f>IF(E5&lt;9,(C3*700)*D3,(C3*960)*D3)</f>
        <v>0</v>
      </c>
      <c r="D7" s="57">
        <f>C3*(D3*700)</f>
        <v>0</v>
      </c>
      <c r="E7" s="57">
        <f>IF(E5&lt;9,(C3*700)*5,(C3*960)*5)</f>
        <v>0</v>
      </c>
      <c r="F7" s="57">
        <f>IF(E5&lt;9,(C3*700)*D3,(C3*960)*D3)</f>
        <v>0</v>
      </c>
      <c r="G7" s="57">
        <f>(C3*1100)*D3</f>
        <v>0</v>
      </c>
      <c r="H7" s="57">
        <f>(C3*1100)*D3</f>
        <v>0</v>
      </c>
      <c r="I7" s="62"/>
      <c r="J7" s="62"/>
    </row>
    <row r="8" spans="1:10" x14ac:dyDescent="0.25">
      <c r="A8" s="56" t="s">
        <v>2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62"/>
      <c r="J8" s="62"/>
    </row>
    <row r="9" spans="1:10" x14ac:dyDescent="0.25">
      <c r="A9" s="60" t="s">
        <v>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62"/>
      <c r="J9" s="62"/>
    </row>
    <row r="10" spans="1:10" x14ac:dyDescent="0.25">
      <c r="A10" s="56" t="s">
        <v>70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62"/>
      <c r="J10" s="62"/>
    </row>
    <row r="11" spans="1:10" x14ac:dyDescent="0.25">
      <c r="A11" s="56" t="s">
        <v>71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62"/>
      <c r="J11" s="62"/>
    </row>
    <row r="12" spans="1:10" x14ac:dyDescent="0.25">
      <c r="A12" s="56" t="s">
        <v>72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62"/>
      <c r="J12" s="62"/>
    </row>
    <row r="13" spans="1:10" x14ac:dyDescent="0.25">
      <c r="A13" s="52" t="s">
        <v>6</v>
      </c>
      <c r="B13" s="58">
        <f t="shared" ref="B13:H13" si="0">SUM(B8:B12)</f>
        <v>0</v>
      </c>
      <c r="C13" s="58">
        <f t="shared" si="0"/>
        <v>0</v>
      </c>
      <c r="D13" s="58">
        <f t="shared" si="0"/>
        <v>0</v>
      </c>
      <c r="E13" s="58">
        <f t="shared" si="0"/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62"/>
      <c r="J13" s="62"/>
    </row>
    <row r="14" spans="1:10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x14ac:dyDescent="0.25">
      <c r="A15" s="63" t="s">
        <v>73</v>
      </c>
      <c r="B15" s="64"/>
      <c r="C15" s="65"/>
      <c r="D15" s="62"/>
      <c r="E15" s="65"/>
      <c r="F15" s="65"/>
      <c r="G15" s="62"/>
      <c r="H15" s="62"/>
      <c r="I15" s="62"/>
      <c r="J15" s="62"/>
    </row>
    <row r="16" spans="1:10" x14ac:dyDescent="0.25">
      <c r="A16" s="63" t="s">
        <v>74</v>
      </c>
      <c r="B16" s="65"/>
      <c r="C16" s="65"/>
      <c r="D16" s="62"/>
      <c r="E16" s="65"/>
      <c r="F16" s="65"/>
      <c r="G16" s="62"/>
      <c r="H16" s="62"/>
      <c r="I16" s="62"/>
      <c r="J16" s="62"/>
    </row>
    <row r="17" spans="1:10" x14ac:dyDescent="0.25">
      <c r="A17" s="63" t="s">
        <v>75</v>
      </c>
      <c r="B17" s="66"/>
      <c r="C17" s="65"/>
      <c r="D17" s="62"/>
      <c r="E17" s="67"/>
      <c r="F17" s="67"/>
      <c r="G17" s="62"/>
      <c r="H17" s="62"/>
      <c r="I17" s="62"/>
      <c r="J17" s="62"/>
    </row>
    <row r="19" spans="1:10" x14ac:dyDescent="0.25">
      <c r="A19" s="61"/>
    </row>
    <row r="20" spans="1:10" x14ac:dyDescent="0.25">
      <c r="A20" s="61"/>
    </row>
  </sheetData>
  <sheetProtection selectLockedCells="1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Ely Summer</vt:lpstr>
      <vt:lpstr>Atikokan Summer</vt:lpstr>
      <vt:lpstr>Bissett Summer</vt:lpstr>
      <vt:lpstr>OKPIK(Winter)</vt:lpstr>
      <vt:lpstr>'Atikokan Summer'!Print_Area</vt:lpstr>
    </vt:vector>
  </TitlesOfParts>
  <Company>Northern Tier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Schocke</dc:creator>
  <cp:lastModifiedBy>Leslie Thibodeaux</cp:lastModifiedBy>
  <cp:lastPrinted>2015-09-02T17:42:09Z</cp:lastPrinted>
  <dcterms:created xsi:type="dcterms:W3CDTF">2004-07-27T18:42:04Z</dcterms:created>
  <dcterms:modified xsi:type="dcterms:W3CDTF">2015-10-22T15:06:11Z</dcterms:modified>
</cp:coreProperties>
</file>